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Y:\！業務担当\201 使用料改定\R5使用料\ホームページ\"/>
    </mc:Choice>
  </mc:AlternateContent>
  <xr:revisionPtr revIDLastSave="0" documentId="13_ncr:1_{7CCF21B2-3198-4F14-8D0C-D4FFB8E37590}" xr6:coauthVersionLast="36" xr6:coauthVersionMax="36" xr10:uidLastSave="{00000000-0000-0000-0000-000000000000}"/>
  <bookViews>
    <workbookView xWindow="0" yWindow="0" windowWidth="11745" windowHeight="5730" xr2:uid="{00000000-000D-0000-FFFF-FFFF00000000}"/>
  </bookViews>
  <sheets>
    <sheet name="計算2か月" sheetId="8" r:id="rId1"/>
    <sheet name="計算１か月" sheetId="7" r:id="rId2"/>
  </sheets>
  <definedNames>
    <definedName name="_xlnm.Print_Area" localSheetId="1">計算１か月!$A$1:$R$36</definedName>
    <definedName name="_xlnm.Print_Area" localSheetId="0">計算2か月!$A$1:$R$36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7" l="1"/>
  <c r="N20" i="7"/>
  <c r="N19" i="7"/>
  <c r="N18" i="7"/>
  <c r="N17" i="7"/>
  <c r="N16" i="7"/>
  <c r="N15" i="7"/>
  <c r="N14" i="7"/>
  <c r="N13" i="7"/>
  <c r="G13" i="7" l="1"/>
  <c r="N43" i="8" l="1"/>
  <c r="P43" i="8" s="1"/>
  <c r="N46" i="8"/>
  <c r="P46" i="8" s="1"/>
  <c r="N45" i="8"/>
  <c r="P45" i="8" s="1"/>
  <c r="N44" i="8"/>
  <c r="P44" i="8" s="1"/>
  <c r="N42" i="8"/>
  <c r="P42" i="8" s="1"/>
  <c r="N41" i="8"/>
  <c r="P41" i="8" s="1"/>
  <c r="N40" i="8"/>
  <c r="G45" i="8"/>
  <c r="I45" i="8" s="1"/>
  <c r="G44" i="8"/>
  <c r="I44" i="8" s="1"/>
  <c r="G43" i="8"/>
  <c r="I43" i="8" s="1"/>
  <c r="G42" i="8"/>
  <c r="I42" i="8" s="1"/>
  <c r="G41" i="8"/>
  <c r="I41" i="8" s="1"/>
  <c r="G40" i="8"/>
  <c r="N21" i="8"/>
  <c r="P21" i="8" s="1"/>
  <c r="N20" i="8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G21" i="8"/>
  <c r="I21" i="8" s="1"/>
  <c r="G20" i="8"/>
  <c r="I20" i="8" s="1"/>
  <c r="G19" i="8"/>
  <c r="I19" i="8" s="1"/>
  <c r="G18" i="8"/>
  <c r="I18" i="8" s="1"/>
  <c r="G17" i="8"/>
  <c r="I17" i="8" s="1"/>
  <c r="G16" i="8"/>
  <c r="I16" i="8" s="1"/>
  <c r="G15" i="8"/>
  <c r="I15" i="8" s="1"/>
  <c r="G14" i="8"/>
  <c r="I14" i="8" s="1"/>
  <c r="G13" i="8"/>
  <c r="P40" i="8"/>
  <c r="I40" i="8"/>
  <c r="P13" i="8"/>
  <c r="I13" i="8"/>
  <c r="G39" i="8" l="1"/>
  <c r="I46" i="8"/>
  <c r="I47" i="8" s="1"/>
  <c r="I48" i="8" s="1"/>
  <c r="N39" i="8"/>
  <c r="N12" i="8"/>
  <c r="P47" i="8"/>
  <c r="P48" i="8" s="1"/>
  <c r="P49" i="8" s="1"/>
  <c r="I22" i="8"/>
  <c r="P22" i="8"/>
  <c r="G12" i="8"/>
  <c r="N46" i="7"/>
  <c r="P46" i="7" s="1"/>
  <c r="N45" i="7"/>
  <c r="P45" i="7" s="1"/>
  <c r="G45" i="7"/>
  <c r="I45" i="7" s="1"/>
  <c r="N44" i="7"/>
  <c r="P44" i="7" s="1"/>
  <c r="G44" i="7"/>
  <c r="I44" i="7" s="1"/>
  <c r="N43" i="7"/>
  <c r="P43" i="7" s="1"/>
  <c r="G43" i="7"/>
  <c r="I43" i="7" s="1"/>
  <c r="N42" i="7"/>
  <c r="P42" i="7" s="1"/>
  <c r="G42" i="7"/>
  <c r="I42" i="7" s="1"/>
  <c r="N41" i="7"/>
  <c r="P41" i="7" s="1"/>
  <c r="G41" i="7"/>
  <c r="I41" i="7" s="1"/>
  <c r="P40" i="7"/>
  <c r="N40" i="7"/>
  <c r="I40" i="7"/>
  <c r="G40" i="7"/>
  <c r="I23" i="8" l="1"/>
  <c r="I24" i="8" s="1"/>
  <c r="I31" i="8" s="1"/>
  <c r="F30" i="8"/>
  <c r="F32" i="8"/>
  <c r="G39" i="7"/>
  <c r="I46" i="7"/>
  <c r="I47" i="7" s="1"/>
  <c r="I48" i="7" s="1"/>
  <c r="I30" i="8"/>
  <c r="P26" i="8"/>
  <c r="I32" i="8"/>
  <c r="P23" i="8"/>
  <c r="P24" i="8" s="1"/>
  <c r="N39" i="7"/>
  <c r="P47" i="7"/>
  <c r="P21" i="7"/>
  <c r="P20" i="7"/>
  <c r="P19" i="7"/>
  <c r="P18" i="7"/>
  <c r="P17" i="7"/>
  <c r="P16" i="7"/>
  <c r="P15" i="7"/>
  <c r="P14" i="7"/>
  <c r="P13" i="7"/>
  <c r="F34" i="8" l="1"/>
  <c r="M7" i="8"/>
  <c r="F33" i="8"/>
  <c r="M6" i="8"/>
  <c r="F31" i="8"/>
  <c r="I34" i="8"/>
  <c r="P27" i="8"/>
  <c r="I33" i="8"/>
  <c r="I35" i="8" s="1"/>
  <c r="P48" i="7"/>
  <c r="P49" i="7" s="1"/>
  <c r="N12" i="7"/>
  <c r="P22" i="7"/>
  <c r="P23" i="7" s="1"/>
  <c r="F35" i="8" l="1"/>
  <c r="M8" i="8"/>
  <c r="F32" i="7"/>
  <c r="I32" i="7"/>
  <c r="P24" i="7"/>
  <c r="M7" i="7" s="1"/>
  <c r="F33" i="7" l="1"/>
  <c r="I33" i="7"/>
  <c r="I13" i="7" l="1"/>
  <c r="G15" i="7"/>
  <c r="I15" i="7" s="1"/>
  <c r="G21" i="7"/>
  <c r="I21" i="7" s="1"/>
  <c r="G20" i="7"/>
  <c r="I20" i="7" s="1"/>
  <c r="G19" i="7"/>
  <c r="I19" i="7" s="1"/>
  <c r="G18" i="7"/>
  <c r="I18" i="7" s="1"/>
  <c r="G17" i="7"/>
  <c r="I17" i="7" s="1"/>
  <c r="G14" i="7"/>
  <c r="G16" i="7"/>
  <c r="I16" i="7" s="1"/>
  <c r="I14" i="7" l="1"/>
  <c r="I22" i="7" s="1"/>
  <c r="F30" i="7" s="1"/>
  <c r="G12" i="7"/>
  <c r="F34" i="7" l="1"/>
  <c r="I30" i="7"/>
  <c r="I34" i="7" s="1"/>
  <c r="P26" i="7"/>
  <c r="I23" i="7"/>
  <c r="I24" i="7" s="1"/>
  <c r="M6" i="7" s="1"/>
  <c r="M8" i="7" s="1"/>
  <c r="F31" i="7" l="1"/>
  <c r="F35" i="7" s="1"/>
  <c r="I31" i="7"/>
  <c r="I35" i="7" s="1"/>
  <c r="P27" i="7"/>
</calcChain>
</file>

<file path=xl/sharedStrings.xml><?xml version="1.0" encoding="utf-8"?>
<sst xmlns="http://schemas.openxmlformats.org/spreadsheetml/2006/main" count="244" uniqueCount="61">
  <si>
    <t>合計</t>
    <rPh sb="0" eb="2">
      <t>ゴウケイ</t>
    </rPh>
    <phoneticPr fontId="1"/>
  </si>
  <si>
    <t>0～8㎥</t>
    <phoneticPr fontId="1"/>
  </si>
  <si>
    <t>9～15㎥</t>
    <phoneticPr fontId="1"/>
  </si>
  <si>
    <t>16～20㎥</t>
    <phoneticPr fontId="1"/>
  </si>
  <si>
    <t>21～30㎥</t>
    <phoneticPr fontId="1"/>
  </si>
  <si>
    <t>31～50㎥</t>
    <phoneticPr fontId="1"/>
  </si>
  <si>
    <t>51～100㎥</t>
    <phoneticPr fontId="1"/>
  </si>
  <si>
    <t>101～300㎥</t>
    <phoneticPr fontId="1"/>
  </si>
  <si>
    <t>301～1,000㎥</t>
    <phoneticPr fontId="1"/>
  </si>
  <si>
    <t>1,001㎥～</t>
    <phoneticPr fontId="1"/>
  </si>
  <si>
    <t>×</t>
    <phoneticPr fontId="1"/>
  </si>
  <si>
    <t>＝</t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</si>
  <si>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</si>
  <si>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</si>
  <si>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水道料金（家庭用）</t>
    <rPh sb="0" eb="2">
      <t>スイドウ</t>
    </rPh>
    <rPh sb="2" eb="4">
      <t>リョウキン</t>
    </rPh>
    <rPh sb="5" eb="8">
      <t>カテイヨウ</t>
    </rPh>
    <phoneticPr fontId="1"/>
  </si>
  <si>
    <t>51～㎥</t>
    <phoneticPr fontId="1"/>
  </si>
  <si>
    <t>9～50㎥</t>
    <phoneticPr fontId="1"/>
  </si>
  <si>
    <t>10,001㎥～</t>
    <phoneticPr fontId="1"/>
  </si>
  <si>
    <t>改定前合計</t>
    <rPh sb="0" eb="2">
      <t>カイテイ</t>
    </rPh>
    <rPh sb="2" eb="3">
      <t>マエ</t>
    </rPh>
    <rPh sb="3" eb="5">
      <t>ゴウケイ</t>
    </rPh>
    <phoneticPr fontId="1"/>
  </si>
  <si>
    <t>（税抜き）</t>
    <rPh sb="1" eb="2">
      <t>ゼイ</t>
    </rPh>
    <rPh sb="2" eb="3">
      <t>ヌ</t>
    </rPh>
    <phoneticPr fontId="1"/>
  </si>
  <si>
    <t>（税込み）</t>
    <rPh sb="1" eb="2">
      <t>ゼイ</t>
    </rPh>
    <rPh sb="2" eb="3">
      <t>コ</t>
    </rPh>
    <phoneticPr fontId="1"/>
  </si>
  <si>
    <t>改定後合計</t>
    <rPh sb="0" eb="2">
      <t>カイテイ</t>
    </rPh>
    <rPh sb="2" eb="3">
      <t>ゴ</t>
    </rPh>
    <rPh sb="3" eb="5">
      <t>ゴウケイ</t>
    </rPh>
    <phoneticPr fontId="1"/>
  </si>
  <si>
    <t>家庭用</t>
    <rPh sb="0" eb="3">
      <t>カテイヨウ</t>
    </rPh>
    <phoneticPr fontId="1"/>
  </si>
  <si>
    <t>業務用</t>
    <rPh sb="0" eb="3">
      <t>ギョウムヨウ</t>
    </rPh>
    <phoneticPr fontId="1"/>
  </si>
  <si>
    <t>差額</t>
    <rPh sb="0" eb="2">
      <t>サガク</t>
    </rPh>
    <phoneticPr fontId="1"/>
  </si>
  <si>
    <t>0～16㎥</t>
    <phoneticPr fontId="1"/>
  </si>
  <si>
    <t>17～30㎥</t>
    <phoneticPr fontId="1"/>
  </si>
  <si>
    <t>31～40㎥</t>
    <phoneticPr fontId="1"/>
  </si>
  <si>
    <t>41～60㎥</t>
    <phoneticPr fontId="1"/>
  </si>
  <si>
    <t>61～100㎥</t>
    <phoneticPr fontId="1"/>
  </si>
  <si>
    <t>101～200㎥</t>
    <phoneticPr fontId="1"/>
  </si>
  <si>
    <t>201～600㎥</t>
    <phoneticPr fontId="1"/>
  </si>
  <si>
    <t>601～2,000㎥</t>
    <phoneticPr fontId="1"/>
  </si>
  <si>
    <t>2,001㎥～</t>
    <phoneticPr fontId="1"/>
  </si>
  <si>
    <t>17～30㎥</t>
    <phoneticPr fontId="1"/>
  </si>
  <si>
    <t>31～40㎥</t>
    <phoneticPr fontId="1"/>
  </si>
  <si>
    <t>41～60㎥</t>
    <phoneticPr fontId="1"/>
  </si>
  <si>
    <t>101～㎥</t>
    <phoneticPr fontId="1"/>
  </si>
  <si>
    <t>0～16㎥</t>
    <phoneticPr fontId="1"/>
  </si>
  <si>
    <t>17～100㎥</t>
    <phoneticPr fontId="1"/>
  </si>
  <si>
    <t>101～200㎥</t>
    <phoneticPr fontId="1"/>
  </si>
  <si>
    <t>201～600㎥</t>
    <phoneticPr fontId="1"/>
  </si>
  <si>
    <t>601～2,000㎥</t>
    <phoneticPr fontId="1"/>
  </si>
  <si>
    <t>20,001㎥～</t>
    <phoneticPr fontId="1"/>
  </si>
  <si>
    <t>改定前下水道使用料（税込み）</t>
    <rPh sb="0" eb="2">
      <t>カイテイ</t>
    </rPh>
    <rPh sb="2" eb="3">
      <t>マエ</t>
    </rPh>
    <rPh sb="3" eb="6">
      <t>ゲスイドウ</t>
    </rPh>
    <rPh sb="6" eb="9">
      <t>シヨウリョウ</t>
    </rPh>
    <rPh sb="10" eb="12">
      <t>ゼイコ</t>
    </rPh>
    <phoneticPr fontId="1"/>
  </si>
  <si>
    <t>改定後下水道使用料（税込み）</t>
    <rPh sb="0" eb="2">
      <t>カイテイ</t>
    </rPh>
    <rPh sb="2" eb="3">
      <t>ゴ</t>
    </rPh>
    <rPh sb="3" eb="6">
      <t>ゲスイドウ</t>
    </rPh>
    <rPh sb="6" eb="9">
      <t>シヨウリョウ</t>
    </rPh>
    <rPh sb="10" eb="12">
      <t>ゼイコ</t>
    </rPh>
    <phoneticPr fontId="1"/>
  </si>
  <si>
    <t>値上額（税込み）</t>
    <rPh sb="0" eb="2">
      <t>ネアゲ</t>
    </rPh>
    <rPh sb="2" eb="3">
      <t>ガク</t>
    </rPh>
    <rPh sb="4" eb="6">
      <t>ゼイコ</t>
    </rPh>
    <phoneticPr fontId="1"/>
  </si>
  <si>
    <t>値上額</t>
    <rPh sb="0" eb="3">
      <t>ネアゲガク</t>
    </rPh>
    <phoneticPr fontId="1"/>
  </si>
  <si>
    <t>【参考】上下水道料金合計額</t>
    <rPh sb="1" eb="3">
      <t>サンコウ</t>
    </rPh>
    <rPh sb="4" eb="8">
      <t>ジョウゲスイドウ</t>
    </rPh>
    <rPh sb="8" eb="10">
      <t>リョウキン</t>
    </rPh>
    <rPh sb="10" eb="12">
      <t>ゴウケイ</t>
    </rPh>
    <rPh sb="12" eb="13">
      <t>ガク</t>
    </rPh>
    <phoneticPr fontId="1"/>
  </si>
  <si>
    <t>排水量</t>
    <rPh sb="0" eb="2">
      <t>ハイスイ</t>
    </rPh>
    <rPh sb="2" eb="3">
      <t>リョウ</t>
    </rPh>
    <phoneticPr fontId="1"/>
  </si>
  <si>
    <t>消費税等</t>
    <rPh sb="0" eb="3">
      <t>ショウヒゼイ</t>
    </rPh>
    <rPh sb="3" eb="4">
      <t>トウ</t>
    </rPh>
    <phoneticPr fontId="1"/>
  </si>
  <si>
    <t>2,001～20,000㎥</t>
    <phoneticPr fontId="1"/>
  </si>
  <si>
    <t>1,001～10,000㎥</t>
    <phoneticPr fontId="1"/>
  </si>
  <si>
    <t>下水道使用料計算シート（隔月点検）</t>
    <rPh sb="0" eb="3">
      <t>ゲスイドウ</t>
    </rPh>
    <rPh sb="3" eb="6">
      <t>シヨウリョウ</t>
    </rPh>
    <rPh sb="6" eb="8">
      <t>ケイサン</t>
    </rPh>
    <rPh sb="12" eb="14">
      <t>カクゲツ</t>
    </rPh>
    <rPh sb="14" eb="16">
      <t>テンケン</t>
    </rPh>
    <phoneticPr fontId="1"/>
  </si>
  <si>
    <t>下水道使用料計算シート（毎月点検）</t>
    <rPh sb="0" eb="3">
      <t>ゲスイドウ</t>
    </rPh>
    <rPh sb="3" eb="6">
      <t>シヨウリョウ</t>
    </rPh>
    <rPh sb="6" eb="8">
      <t>ケイサン</t>
    </rPh>
    <rPh sb="12" eb="14">
      <t>マイツキ</t>
    </rPh>
    <rPh sb="14" eb="16">
      <t>テンケン</t>
    </rPh>
    <phoneticPr fontId="1"/>
  </si>
  <si>
    <r>
      <t>水道料金</t>
    </r>
    <r>
      <rPr>
        <b/>
        <sz val="11"/>
        <color rgb="FF0070C0"/>
        <rFont val="BIZ UD明朝 Medium"/>
        <family val="1"/>
        <charset val="128"/>
      </rPr>
      <t>（業務用）</t>
    </r>
    <rPh sb="0" eb="2">
      <t>スイドウ</t>
    </rPh>
    <rPh sb="2" eb="4">
      <t>リョウキン</t>
    </rPh>
    <rPh sb="5" eb="8">
      <t>ギョウムヨウ</t>
    </rPh>
    <phoneticPr fontId="1"/>
  </si>
  <si>
    <t>新単価（毎月点検　R5.4.1～）</t>
    <rPh sb="0" eb="3">
      <t>シンタンカ</t>
    </rPh>
    <rPh sb="4" eb="5">
      <t>マイ</t>
    </rPh>
    <phoneticPr fontId="1"/>
  </si>
  <si>
    <t>旧単価（毎月点検　～R5.3.31）</t>
    <rPh sb="0" eb="3">
      <t>キュウタンカ</t>
    </rPh>
    <rPh sb="4" eb="5">
      <t>マイ</t>
    </rPh>
    <phoneticPr fontId="1"/>
  </si>
  <si>
    <t>←金額を確認したい排水量を入力してください。</t>
    <phoneticPr fontId="1"/>
  </si>
  <si>
    <t>旧単価（隔月点検　～R5.3.31）</t>
    <rPh sb="0" eb="3">
      <t>キュウタンカ</t>
    </rPh>
    <rPh sb="4" eb="6">
      <t>カクゲツ</t>
    </rPh>
    <phoneticPr fontId="1"/>
  </si>
  <si>
    <t>新単価（隔月点検　R5.4.1～）</t>
    <rPh sb="0" eb="3">
      <t>シンタンカ</t>
    </rPh>
    <rPh sb="4" eb="6">
      <t>カクゲツ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</si>
</sst>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&quot;円&quot;"/>
    <numFmt numFmtId="178" formatCode="#&quot;円/㎥&quot;"/>
    <numFmt numFmtId="179" formatCode="#,###&quot;円&quot;"/>
    <numFmt numFmtId="180" formatCode="#,###&quot;㎥&quot;"/>
  </numFmts>
  <fonts count="2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2"/>
      <charset val="128"/>
    </font>
    <font>
      <sz val="12"/>
      <name val="ＭＳ 明朝"/>
      <family val="1"/>
      <charset val="128"/>
    </font>
    <font>
      <b/>
      <sz val="2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0"/>
      <name val="BIZ UD明朝 Medium"/>
      <family val="1"/>
      <charset val="128"/>
    </font>
    <font>
      <b/>
      <sz val="11"/>
      <color rgb="FF0070C0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16"/>
      <color rgb="FFFF000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0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3" fillId="0" borderId="0" xfId="0" applyFont="1" applyFill="1" applyAlignment="1">
      <alignment horizontal="left"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 shrinkToFit="1"/>
    </xf>
    <xf numFmtId="179" fontId="12" fillId="0" borderId="4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>
      <alignment vertical="center"/>
    </xf>
    <xf numFmtId="0" fontId="9" fillId="0" borderId="0" xfId="0" applyFont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 shrinkToFit="1"/>
    </xf>
    <xf numFmtId="179" fontId="10" fillId="0" borderId="18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18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15" fillId="0" borderId="12" xfId="0" applyNumberFormat="1" applyFont="1" applyBorder="1" applyAlignment="1">
      <alignment horizontal="right" vertical="center" shrinkToFit="1"/>
    </xf>
    <xf numFmtId="179" fontId="15" fillId="0" borderId="14" xfId="0" applyNumberFormat="1" applyFont="1" applyFill="1" applyBorder="1" applyAlignment="1">
      <alignment vertical="center" shrinkToFit="1"/>
    </xf>
    <xf numFmtId="176" fontId="15" fillId="0" borderId="17" xfId="0" applyNumberFormat="1" applyFont="1" applyBorder="1" applyAlignment="1">
      <alignment horizontal="right" vertical="center" shrinkToFit="1"/>
    </xf>
    <xf numFmtId="179" fontId="15" fillId="0" borderId="19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176" fontId="15" fillId="0" borderId="0" xfId="0" applyNumberFormat="1" applyFont="1" applyBorder="1" applyAlignment="1">
      <alignment horizontal="right"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179" fontId="15" fillId="0" borderId="0" xfId="0" applyNumberFormat="1" applyFont="1" applyFill="1" applyBorder="1" applyAlignment="1">
      <alignment vertical="center" shrinkToFit="1"/>
    </xf>
    <xf numFmtId="0" fontId="16" fillId="0" borderId="20" xfId="0" applyFont="1" applyFill="1" applyBorder="1" applyAlignment="1">
      <alignment horizontal="right" vertical="center" shrinkToFit="1"/>
    </xf>
    <xf numFmtId="176" fontId="15" fillId="0" borderId="21" xfId="0" applyNumberFormat="1" applyFont="1" applyFill="1" applyBorder="1" applyAlignment="1">
      <alignment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right" vertical="center" shrinkToFit="1"/>
    </xf>
    <xf numFmtId="176" fontId="15" fillId="0" borderId="6" xfId="0" applyNumberFormat="1" applyFont="1" applyFill="1" applyBorder="1" applyAlignment="1">
      <alignment vertical="center" shrinkToFit="1"/>
    </xf>
    <xf numFmtId="179" fontId="15" fillId="0" borderId="24" xfId="0" applyNumberFormat="1" applyFont="1" applyFill="1" applyBorder="1" applyAlignment="1">
      <alignment vertical="center" shrinkToFit="1"/>
    </xf>
    <xf numFmtId="0" fontId="15" fillId="0" borderId="25" xfId="0" applyFont="1" applyFill="1" applyBorder="1" applyAlignment="1">
      <alignment horizontal="right" vertical="center" shrinkToFit="1"/>
    </xf>
    <xf numFmtId="176" fontId="15" fillId="0" borderId="8" xfId="0" applyNumberFormat="1" applyFont="1" applyFill="1" applyBorder="1" applyAlignment="1">
      <alignment vertical="center" shrinkToFit="1"/>
    </xf>
    <xf numFmtId="179" fontId="15" fillId="0" borderId="26" xfId="0" applyNumberFormat="1" applyFont="1" applyFill="1" applyBorder="1" applyAlignment="1">
      <alignment vertical="center" shrinkToFit="1"/>
    </xf>
    <xf numFmtId="0" fontId="15" fillId="0" borderId="15" xfId="0" applyFont="1" applyFill="1" applyBorder="1" applyAlignment="1">
      <alignment horizontal="right" vertical="center" shrinkToFit="1"/>
    </xf>
    <xf numFmtId="176" fontId="15" fillId="0" borderId="0" xfId="0" applyNumberFormat="1" applyFont="1" applyFill="1" applyBorder="1" applyAlignment="1">
      <alignment vertical="center" shrinkToFit="1"/>
    </xf>
    <xf numFmtId="179" fontId="15" fillId="0" borderId="16" xfId="0" applyNumberFormat="1" applyFont="1" applyFill="1" applyBorder="1" applyAlignment="1">
      <alignment vertical="center" shrinkToFit="1"/>
    </xf>
    <xf numFmtId="0" fontId="15" fillId="0" borderId="17" xfId="0" applyFont="1" applyFill="1" applyBorder="1" applyAlignment="1">
      <alignment horizontal="right" vertical="center" shrinkToFit="1"/>
    </xf>
    <xf numFmtId="176" fontId="15" fillId="0" borderId="18" xfId="0" applyNumberFormat="1" applyFont="1" applyFill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179" fontId="5" fillId="0" borderId="6" xfId="0" applyNumberFormat="1" applyFont="1" applyFill="1" applyBorder="1">
      <alignment vertical="center"/>
    </xf>
    <xf numFmtId="0" fontId="5" fillId="0" borderId="6" xfId="0" applyFont="1" applyFill="1" applyBorder="1">
      <alignment vertical="center"/>
    </xf>
    <xf numFmtId="180" fontId="5" fillId="0" borderId="6" xfId="0" applyNumberFormat="1" applyFont="1" applyFill="1" applyBorder="1">
      <alignment vertical="center"/>
    </xf>
    <xf numFmtId="179" fontId="5" fillId="0" borderId="7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178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80" fontId="5" fillId="0" borderId="0" xfId="0" applyNumberFormat="1" applyFont="1" applyFill="1" applyBorder="1">
      <alignment vertical="center"/>
    </xf>
    <xf numFmtId="179" fontId="5" fillId="0" borderId="4" xfId="0" applyNumberFormat="1" applyFont="1" applyFill="1" applyBorder="1">
      <alignment vertical="center"/>
    </xf>
    <xf numFmtId="0" fontId="5" fillId="0" borderId="11" xfId="0" applyFont="1" applyFill="1" applyBorder="1" applyAlignment="1">
      <alignment horizontal="right" vertical="center"/>
    </xf>
    <xf numFmtId="178" fontId="5" fillId="0" borderId="9" xfId="0" applyNumberFormat="1" applyFont="1" applyFill="1" applyBorder="1">
      <alignment vertical="center"/>
    </xf>
    <xf numFmtId="0" fontId="5" fillId="0" borderId="9" xfId="0" applyFont="1" applyFill="1" applyBorder="1">
      <alignment vertical="center"/>
    </xf>
    <xf numFmtId="180" fontId="5" fillId="0" borderId="9" xfId="0" applyNumberFormat="1" applyFont="1" applyFill="1" applyBorder="1">
      <alignment vertical="center"/>
    </xf>
    <xf numFmtId="179" fontId="5" fillId="0" borderId="1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176" fontId="5" fillId="0" borderId="8" xfId="0" applyNumberFormat="1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horizontal="right" vertical="center"/>
    </xf>
    <xf numFmtId="179" fontId="5" fillId="0" borderId="5" xfId="0" applyNumberFormat="1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 shrinkToFit="1"/>
    </xf>
    <xf numFmtId="176" fontId="5" fillId="0" borderId="0" xfId="0" applyNumberFormat="1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7" fillId="0" borderId="13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176" fontId="5" fillId="0" borderId="13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0" fillId="0" borderId="15" xfId="0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7" fillId="0" borderId="0" xfId="0" applyFont="1" applyFill="1" applyAlignment="1">
      <alignment horizontal="left"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9" fillId="0" borderId="18" xfId="0" applyFont="1" applyBorder="1" applyAlignment="1">
      <alignment horizontal="right" vertical="center"/>
    </xf>
    <xf numFmtId="180" fontId="9" fillId="0" borderId="18" xfId="0" applyNumberFormat="1" applyFont="1" applyFill="1" applyBorder="1" applyAlignment="1">
      <alignment horizontal="right" vertical="center" shrinkToFit="1"/>
    </xf>
    <xf numFmtId="0" fontId="8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5" fillId="0" borderId="19" xfId="0" applyFont="1" applyBorder="1">
      <alignment vertical="center"/>
    </xf>
    <xf numFmtId="0" fontId="11" fillId="0" borderId="30" xfId="0" applyFont="1" applyFill="1" applyBorder="1" applyAlignment="1">
      <alignment horizontal="right" vertical="center" shrinkToFit="1"/>
    </xf>
    <xf numFmtId="0" fontId="12" fillId="0" borderId="31" xfId="0" applyFont="1" applyFill="1" applyBorder="1" applyAlignment="1">
      <alignment vertical="center" shrinkToFit="1"/>
    </xf>
    <xf numFmtId="180" fontId="11" fillId="0" borderId="31" xfId="0" applyNumberFormat="1" applyFont="1" applyFill="1" applyBorder="1" applyAlignment="1">
      <alignment vertical="center" shrinkToFit="1"/>
    </xf>
    <xf numFmtId="179" fontId="12" fillId="0" borderId="32" xfId="0" applyNumberFormat="1" applyFont="1" applyFill="1" applyBorder="1" applyAlignment="1">
      <alignment vertical="center" shrinkToFit="1"/>
    </xf>
    <xf numFmtId="0" fontId="11" fillId="0" borderId="33" xfId="0" applyFont="1" applyFill="1" applyBorder="1" applyAlignment="1">
      <alignment horizontal="right" vertical="center" shrinkToFit="1"/>
    </xf>
    <xf numFmtId="178" fontId="12" fillId="0" borderId="34" xfId="0" applyNumberFormat="1" applyFont="1" applyFill="1" applyBorder="1" applyAlignment="1">
      <alignment vertical="center" shrinkToFit="1"/>
    </xf>
    <xf numFmtId="0" fontId="12" fillId="0" borderId="34" xfId="0" applyFont="1" applyFill="1" applyBorder="1" applyAlignment="1">
      <alignment vertical="center" shrinkToFit="1"/>
    </xf>
    <xf numFmtId="180" fontId="11" fillId="0" borderId="34" xfId="0" applyNumberFormat="1" applyFont="1" applyFill="1" applyBorder="1" applyAlignment="1">
      <alignment vertical="center" shrinkToFit="1"/>
    </xf>
    <xf numFmtId="179" fontId="12" fillId="0" borderId="35" xfId="0" applyNumberFormat="1" applyFont="1" applyFill="1" applyBorder="1" applyAlignment="1">
      <alignment vertical="center" shrinkToFit="1"/>
    </xf>
    <xf numFmtId="0" fontId="11" fillId="0" borderId="36" xfId="0" applyFont="1" applyFill="1" applyBorder="1" applyAlignment="1">
      <alignment horizontal="right" vertical="center" shrinkToFit="1"/>
    </xf>
    <xf numFmtId="178" fontId="12" fillId="0" borderId="37" xfId="0" applyNumberFormat="1" applyFont="1" applyFill="1" applyBorder="1" applyAlignment="1">
      <alignment vertical="center" shrinkToFit="1"/>
    </xf>
    <xf numFmtId="0" fontId="12" fillId="0" borderId="37" xfId="0" applyFont="1" applyFill="1" applyBorder="1" applyAlignment="1">
      <alignment vertical="center" shrinkToFit="1"/>
    </xf>
    <xf numFmtId="180" fontId="11" fillId="0" borderId="37" xfId="0" applyNumberFormat="1" applyFont="1" applyFill="1" applyBorder="1" applyAlignment="1">
      <alignment vertical="center" shrinkToFit="1"/>
    </xf>
    <xf numFmtId="179" fontId="12" fillId="0" borderId="38" xfId="0" applyNumberFormat="1" applyFont="1" applyFill="1" applyBorder="1" applyAlignment="1">
      <alignment vertical="center" shrinkToFit="1"/>
    </xf>
    <xf numFmtId="0" fontId="11" fillId="0" borderId="31" xfId="0" applyFont="1" applyFill="1" applyBorder="1" applyAlignment="1">
      <alignment vertical="center" shrinkToFit="1"/>
    </xf>
    <xf numFmtId="179" fontId="11" fillId="0" borderId="32" xfId="0" applyNumberFormat="1" applyFont="1" applyFill="1" applyBorder="1" applyAlignment="1">
      <alignment vertical="center" shrinkToFit="1"/>
    </xf>
    <xf numFmtId="178" fontId="11" fillId="0" borderId="34" xfId="0" applyNumberFormat="1" applyFont="1" applyFill="1" applyBorder="1" applyAlignment="1">
      <alignment vertical="center" shrinkToFit="1"/>
    </xf>
    <xf numFmtId="0" fontId="11" fillId="0" borderId="34" xfId="0" applyFont="1" applyFill="1" applyBorder="1" applyAlignment="1">
      <alignment vertical="center" shrinkToFit="1"/>
    </xf>
    <xf numFmtId="179" fontId="11" fillId="0" borderId="35" xfId="0" applyNumberFormat="1" applyFont="1" applyFill="1" applyBorder="1" applyAlignment="1">
      <alignment vertical="center" shrinkToFit="1"/>
    </xf>
    <xf numFmtId="178" fontId="11" fillId="0" borderId="37" xfId="0" applyNumberFormat="1" applyFont="1" applyFill="1" applyBorder="1" applyAlignment="1">
      <alignment vertical="center" shrinkToFit="1"/>
    </xf>
    <xf numFmtId="0" fontId="11" fillId="0" borderId="37" xfId="0" applyFont="1" applyFill="1" applyBorder="1" applyAlignment="1">
      <alignment vertical="center" shrinkToFit="1"/>
    </xf>
    <xf numFmtId="179" fontId="11" fillId="0" borderId="38" xfId="0" applyNumberFormat="1" applyFont="1" applyFill="1" applyBorder="1" applyAlignment="1">
      <alignment vertical="center" shrinkToFit="1"/>
    </xf>
    <xf numFmtId="0" fontId="18" fillId="0" borderId="0" xfId="0" applyFont="1" applyFill="1" applyAlignment="1">
      <alignment horizontal="left" vertical="center"/>
    </xf>
    <xf numFmtId="179" fontId="6" fillId="0" borderId="0" xfId="0" applyNumberFormat="1" applyFont="1" applyFill="1" applyBorder="1" applyAlignment="1">
      <alignment vertical="center" shrinkToFit="1"/>
    </xf>
    <xf numFmtId="179" fontId="5" fillId="0" borderId="0" xfId="0" applyNumberFormat="1" applyFont="1" applyFill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3" fillId="0" borderId="0" xfId="0" applyFont="1" applyFill="1" applyAlignment="1">
      <alignment horizontal="left" vertical="center" shrinkToFit="1"/>
    </xf>
    <xf numFmtId="180" fontId="5" fillId="0" borderId="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1" fillId="0" borderId="8" xfId="0" applyFont="1" applyFill="1" applyBorder="1" applyAlignment="1">
      <alignment horizontal="right" vertical="center" shrinkToFit="1"/>
    </xf>
    <xf numFmtId="179" fontId="11" fillId="0" borderId="31" xfId="0" applyNumberFormat="1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right" vertical="center" shrinkToFit="1"/>
    </xf>
    <xf numFmtId="179" fontId="11" fillId="0" borderId="4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right"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1" fillId="0" borderId="2" xfId="0" applyFont="1" applyFill="1" applyBorder="1" applyAlignment="1">
      <alignment horizontal="right" vertical="center" shrinkToFit="1"/>
    </xf>
    <xf numFmtId="176" fontId="11" fillId="0" borderId="8" xfId="0" applyNumberFormat="1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179" fontId="11" fillId="0" borderId="5" xfId="0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right" vertical="center" shrinkToFit="1"/>
    </xf>
    <xf numFmtId="176" fontId="12" fillId="0" borderId="8" xfId="0" applyNumberFormat="1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right" vertical="center" shrinkToFit="1"/>
    </xf>
    <xf numFmtId="179" fontId="12" fillId="0" borderId="5" xfId="0" applyNumberFormat="1" applyFont="1" applyFill="1" applyBorder="1" applyAlignment="1">
      <alignment vertical="center" shrinkToFit="1"/>
    </xf>
    <xf numFmtId="0" fontId="12" fillId="0" borderId="30" xfId="0" applyFont="1" applyFill="1" applyBorder="1" applyAlignment="1">
      <alignment horizontal="right" vertical="center" shrinkToFit="1"/>
    </xf>
    <xf numFmtId="180" fontId="12" fillId="0" borderId="31" xfId="0" applyNumberFormat="1" applyFont="1" applyFill="1" applyBorder="1" applyAlignment="1">
      <alignment vertical="center" shrinkToFit="1"/>
    </xf>
    <xf numFmtId="0" fontId="12" fillId="0" borderId="33" xfId="0" applyFont="1" applyFill="1" applyBorder="1" applyAlignment="1">
      <alignment horizontal="right" vertical="center" shrinkToFit="1"/>
    </xf>
    <xf numFmtId="180" fontId="12" fillId="0" borderId="34" xfId="0" applyNumberFormat="1" applyFont="1" applyFill="1" applyBorder="1" applyAlignment="1">
      <alignment vertical="center" shrinkToFit="1"/>
    </xf>
    <xf numFmtId="0" fontId="12" fillId="0" borderId="36" xfId="0" applyFont="1" applyFill="1" applyBorder="1" applyAlignment="1">
      <alignment horizontal="right" vertical="center" shrinkToFit="1"/>
    </xf>
    <xf numFmtId="180" fontId="12" fillId="0" borderId="37" xfId="0" applyNumberFormat="1" applyFont="1" applyFill="1" applyBorder="1" applyAlignment="1">
      <alignment vertical="center" shrinkToFit="1"/>
    </xf>
    <xf numFmtId="0" fontId="1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179" fontId="15" fillId="0" borderId="6" xfId="0" applyNumberFormat="1" applyFont="1" applyFill="1" applyBorder="1" applyAlignment="1">
      <alignment horizontal="right" vertical="center" shrinkToFit="1"/>
    </xf>
    <xf numFmtId="179" fontId="10" fillId="0" borderId="17" xfId="0" applyNumberFormat="1" applyFont="1" applyFill="1" applyBorder="1" applyAlignment="1">
      <alignment horizontal="right" vertical="center" shrinkToFit="1"/>
    </xf>
    <xf numFmtId="179" fontId="10" fillId="0" borderId="18" xfId="0" applyNumberFormat="1" applyFont="1" applyFill="1" applyBorder="1" applyAlignment="1">
      <alignment horizontal="right" vertical="center" shrinkToFit="1"/>
    </xf>
    <xf numFmtId="179" fontId="10" fillId="0" borderId="19" xfId="0" applyNumberFormat="1" applyFont="1" applyFill="1" applyBorder="1" applyAlignment="1">
      <alignment horizontal="right" vertical="center" shrinkToFit="1"/>
    </xf>
    <xf numFmtId="180" fontId="8" fillId="2" borderId="27" xfId="0" applyNumberFormat="1" applyFont="1" applyFill="1" applyBorder="1" applyAlignment="1" applyProtection="1">
      <alignment horizontal="right" vertical="center" shrinkToFit="1"/>
      <protection locked="0"/>
    </xf>
    <xf numFmtId="180" fontId="8" fillId="2" borderId="2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179" fontId="10" fillId="0" borderId="27" xfId="0" applyNumberFormat="1" applyFont="1" applyBorder="1" applyAlignment="1">
      <alignment horizontal="right" vertical="center" shrinkToFit="1"/>
    </xf>
    <xf numFmtId="179" fontId="10" fillId="0" borderId="28" xfId="0" applyNumberFormat="1" applyFont="1" applyBorder="1" applyAlignment="1">
      <alignment horizontal="right" vertical="center" shrinkToFit="1"/>
    </xf>
    <xf numFmtId="179" fontId="10" fillId="0" borderId="29" xfId="0" applyNumberFormat="1" applyFont="1" applyBorder="1" applyAlignment="1">
      <alignment horizontal="right" vertical="center" shrinkToFit="1"/>
    </xf>
    <xf numFmtId="179" fontId="10" fillId="3" borderId="27" xfId="0" applyNumberFormat="1" applyFont="1" applyFill="1" applyBorder="1" applyAlignment="1">
      <alignment horizontal="right" vertical="center" shrinkToFit="1"/>
    </xf>
    <xf numFmtId="179" fontId="10" fillId="3" borderId="28" xfId="0" applyNumberFormat="1" applyFont="1" applyFill="1" applyBorder="1" applyAlignment="1">
      <alignment horizontal="right" vertical="center" shrinkToFit="1"/>
    </xf>
    <xf numFmtId="179" fontId="10" fillId="3" borderId="29" xfId="0" applyNumberFormat="1" applyFont="1" applyFill="1" applyBorder="1" applyAlignment="1">
      <alignment horizontal="right" vertical="center" shrinkToFit="1"/>
    </xf>
    <xf numFmtId="179" fontId="15" fillId="0" borderId="8" xfId="0" applyNumberFormat="1" applyFont="1" applyFill="1" applyBorder="1" applyAlignment="1">
      <alignment horizontal="right" vertical="center" shrinkToFit="1"/>
    </xf>
    <xf numFmtId="179" fontId="15" fillId="0" borderId="18" xfId="0" applyNumberFormat="1" applyFont="1" applyFill="1" applyBorder="1" applyAlignment="1">
      <alignment horizontal="right" vertical="center" shrinkToFit="1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right" vertical="center"/>
    </xf>
    <xf numFmtId="179" fontId="10" fillId="4" borderId="27" xfId="0" applyNumberFormat="1" applyFont="1" applyFill="1" applyBorder="1" applyAlignment="1">
      <alignment horizontal="right" vertical="center" shrinkToFit="1"/>
    </xf>
    <xf numFmtId="179" fontId="10" fillId="4" borderId="28" xfId="0" applyNumberFormat="1" applyFont="1" applyFill="1" applyBorder="1" applyAlignment="1">
      <alignment horizontal="right" vertical="center" shrinkToFit="1"/>
    </xf>
    <xf numFmtId="179" fontId="10" fillId="4" borderId="29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D5FF"/>
      <color rgb="FF0000FF"/>
      <color rgb="FFFFCCFF"/>
      <color rgb="FFFFAFFF"/>
      <color rgb="FFFFE5FF"/>
      <color rgb="FFFFCCCC"/>
      <color rgb="FFCC99FF"/>
      <color rgb="FF996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108855</xdr:colOff>
      <xdr:row>0</xdr:row>
      <xdr:rowOff>0</xdr:rowOff>
    </xdr:from>
    <xdr:to>
      <xdr:col>31</xdr:col>
      <xdr:colOff>680355</xdr:colOff>
      <xdr:row>40</xdr:row>
      <xdr:rowOff>122464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42CD40-A50A-4711-AA02-B76B6833F63F}"/>
            </a:ext>
          </a:extLst>
        </xdr:cNvPr>
        <xdr:cNvSpPr/>
      </xdr:nvSpPr>
      <xdr:spPr>
        <a:xfrm>
          <a:off x="8667748" y="0"/>
          <a:ext cx="8844643" cy="821871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31</xdr:col>
      <xdr:colOff>304800</xdr:colOff>
      <xdr:row>38</xdr:row>
      <xdr:rowOff>38100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518A156-84ED-45C5-89BD-BF2B43A6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0"/>
          <a:ext cx="8534400" cy="778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32</xdr:col>
      <xdr:colOff>13607</xdr:colOff>
      <xdr:row>40</xdr:row>
      <xdr:rowOff>108858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624CE74-E4D3-41A2-BA8D-F16C1948E541}"/>
            </a:ext>
          </a:extLst>
        </xdr:cNvPr>
        <xdr:cNvSpPr/>
      </xdr:nvSpPr>
      <xdr:spPr>
        <a:xfrm>
          <a:off x="8654143" y="0"/>
          <a:ext cx="8858250" cy="819150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31</xdr:col>
      <xdr:colOff>304800</xdr:colOff>
      <xdr:row>38</xdr:row>
      <xdr:rowOff>28575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C8CDAC1-2F07-4875-B8ED-6EF7B23A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0"/>
          <a:ext cx="8534400" cy="778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R49"/>
  <sheetViews>
    <sheetView tabSelected="1" view="pageBreakPreview" zoomScale="70" zoomScaleNormal="85" zoomScaleSheetLayoutView="70" workbookViewId="0">
      <selection activeCell="E5" sqref="E5"/>
    </sheetView>
  </sheetViews>
  <sheetFormatPr defaultRowHeight="13.5" x14ac:dyDescent="0.15"/>
  <cols>
    <col min="1" max="2" width="1.25" customWidth="1"/>
    <col min="3" max="3" width="3.75" style="4" customWidth="1"/>
    <col min="4" max="4" width="13.875" style="5" bestFit="1" customWidth="1"/>
    <col min="5" max="5" width="11.25" style="3" customWidth="1"/>
    <col min="6" max="6" width="2.5" style="4" customWidth="1"/>
    <col min="7" max="7" width="6.25" style="4" customWidth="1"/>
    <col min="8" max="8" width="2.5" style="4" customWidth="1"/>
    <col min="9" max="9" width="13.75" style="4" customWidth="1"/>
    <col min="10" max="10" width="3.125" style="6" customWidth="1"/>
    <col min="11" max="11" width="13.875" style="7" customWidth="1"/>
    <col min="12" max="12" width="11.25" style="8" customWidth="1"/>
    <col min="13" max="13" width="2.5" style="6" customWidth="1"/>
    <col min="14" max="14" width="6.25" style="6" customWidth="1"/>
    <col min="15" max="15" width="2.5" style="6" customWidth="1"/>
    <col min="16" max="16" width="13.75" style="6" customWidth="1"/>
    <col min="17" max="17" width="1.25" style="6" customWidth="1"/>
    <col min="18" max="18" width="1.25" style="4" customWidth="1"/>
    <col min="19" max="19" width="1.375" customWidth="1"/>
  </cols>
  <sheetData>
    <row r="1" spans="1:18" ht="30" customHeight="1" x14ac:dyDescent="0.15">
      <c r="A1" s="183" t="s">
        <v>53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8" s="2" customFormat="1" ht="15" customHeight="1" thickBot="1" x14ac:dyDescent="0.2">
      <c r="C2" s="27"/>
      <c r="D2" s="27"/>
      <c r="E2" s="27"/>
      <c r="F2" s="27"/>
      <c r="G2" s="27"/>
      <c r="H2" s="27"/>
      <c r="I2" s="27"/>
      <c r="J2" s="28"/>
      <c r="K2" s="29"/>
      <c r="L2" s="30"/>
      <c r="M2" s="28"/>
      <c r="N2" s="28"/>
      <c r="O2" s="28"/>
      <c r="P2" s="28"/>
      <c r="Q2" s="28"/>
      <c r="R2" s="16"/>
    </row>
    <row r="3" spans="1:18" ht="15" customHeight="1" thickBot="1" x14ac:dyDescent="0.2">
      <c r="B3" s="102"/>
      <c r="C3" s="103"/>
      <c r="D3" s="104"/>
      <c r="E3" s="105"/>
      <c r="F3" s="106"/>
      <c r="G3" s="106"/>
      <c r="H3" s="106"/>
      <c r="I3" s="106"/>
      <c r="J3" s="107"/>
      <c r="K3" s="107"/>
      <c r="L3" s="107"/>
      <c r="M3" s="107"/>
      <c r="N3" s="107"/>
      <c r="O3" s="107"/>
      <c r="P3" s="107"/>
      <c r="Q3" s="151"/>
    </row>
    <row r="4" spans="1:18" ht="27" customHeight="1" thickBot="1" x14ac:dyDescent="0.2">
      <c r="B4" s="109"/>
      <c r="C4" s="100"/>
      <c r="D4" s="118" t="s">
        <v>49</v>
      </c>
      <c r="E4" s="191">
        <v>40</v>
      </c>
      <c r="F4" s="192"/>
      <c r="G4" s="181" t="s">
        <v>58</v>
      </c>
      <c r="H4" s="100"/>
      <c r="I4" s="100"/>
      <c r="J4" s="101"/>
      <c r="K4" s="101"/>
      <c r="L4" s="101"/>
      <c r="M4" s="101"/>
      <c r="N4" s="101"/>
      <c r="O4" s="101"/>
      <c r="P4" s="101"/>
      <c r="Q4" s="152"/>
    </row>
    <row r="5" spans="1:18" ht="15" customHeight="1" thickBot="1" x14ac:dyDescent="0.2">
      <c r="B5" s="109"/>
      <c r="C5" s="100"/>
      <c r="D5" s="99"/>
      <c r="E5" s="117"/>
      <c r="F5" s="100"/>
      <c r="G5" s="100"/>
      <c r="H5" s="100"/>
      <c r="I5" s="100"/>
      <c r="J5" s="101"/>
      <c r="K5" s="101"/>
      <c r="L5" s="101"/>
      <c r="M5" s="101"/>
      <c r="N5" s="101"/>
      <c r="O5" s="101"/>
      <c r="P5" s="101"/>
      <c r="Q5" s="152"/>
    </row>
    <row r="6" spans="1:18" ht="27" customHeight="1" thickBot="1" x14ac:dyDescent="0.2">
      <c r="B6" s="109"/>
      <c r="C6" s="100"/>
      <c r="G6" s="100"/>
      <c r="H6" s="193" t="s">
        <v>44</v>
      </c>
      <c r="I6" s="193"/>
      <c r="J6" s="193"/>
      <c r="K6" s="193"/>
      <c r="L6" s="193"/>
      <c r="M6" s="195">
        <f>I24</f>
        <v>4604</v>
      </c>
      <c r="N6" s="196"/>
      <c r="O6" s="197"/>
      <c r="P6" s="101"/>
      <c r="Q6" s="152"/>
    </row>
    <row r="7" spans="1:18" ht="27" customHeight="1" thickBot="1" x14ac:dyDescent="0.2">
      <c r="B7" s="109"/>
      <c r="C7" s="100"/>
      <c r="D7" s="119"/>
      <c r="E7" s="32"/>
      <c r="F7" s="100"/>
      <c r="G7" s="100"/>
      <c r="H7" s="194" t="s">
        <v>45</v>
      </c>
      <c r="I7" s="194"/>
      <c r="J7" s="194"/>
      <c r="K7" s="194"/>
      <c r="L7" s="194"/>
      <c r="M7" s="198">
        <f>P24</f>
        <v>5508</v>
      </c>
      <c r="N7" s="199"/>
      <c r="O7" s="200"/>
      <c r="P7" s="101"/>
      <c r="Q7" s="152"/>
    </row>
    <row r="8" spans="1:18" ht="27" customHeight="1" thickBot="1" x14ac:dyDescent="0.2">
      <c r="B8" s="109"/>
      <c r="C8" s="100"/>
      <c r="D8" s="119"/>
      <c r="E8" s="32"/>
      <c r="F8" s="100"/>
      <c r="G8" s="100"/>
      <c r="H8" s="193" t="s">
        <v>46</v>
      </c>
      <c r="I8" s="193"/>
      <c r="J8" s="193"/>
      <c r="K8" s="193"/>
      <c r="L8" s="193"/>
      <c r="M8" s="188">
        <f>M7-M6</f>
        <v>904</v>
      </c>
      <c r="N8" s="189"/>
      <c r="O8" s="190"/>
      <c r="P8" s="101"/>
      <c r="Q8" s="152"/>
    </row>
    <row r="9" spans="1:18" ht="15" customHeight="1" thickBot="1" x14ac:dyDescent="0.2">
      <c r="B9" s="111"/>
      <c r="C9" s="120"/>
      <c r="D9" s="121"/>
      <c r="E9" s="122"/>
      <c r="F9" s="120"/>
      <c r="G9" s="120"/>
      <c r="H9" s="120"/>
      <c r="I9" s="120"/>
      <c r="J9" s="124"/>
      <c r="K9" s="124"/>
      <c r="L9" s="124"/>
      <c r="M9" s="124"/>
      <c r="N9" s="124"/>
      <c r="O9" s="124"/>
      <c r="P9" s="124"/>
      <c r="Q9" s="153"/>
    </row>
    <row r="10" spans="1:18" ht="15" customHeight="1" x14ac:dyDescent="0.15">
      <c r="L10" s="34"/>
      <c r="M10" s="28"/>
      <c r="N10" s="35"/>
      <c r="O10" s="28"/>
      <c r="P10" s="28"/>
      <c r="Q10" s="28"/>
    </row>
    <row r="11" spans="1:18" ht="18.75" x14ac:dyDescent="0.15">
      <c r="D11" s="112" t="s">
        <v>59</v>
      </c>
      <c r="E11" s="113"/>
      <c r="F11" s="114"/>
      <c r="G11" s="115"/>
      <c r="H11" s="114"/>
      <c r="I11" s="114"/>
      <c r="J11" s="116"/>
      <c r="K11" s="148" t="s">
        <v>60</v>
      </c>
      <c r="L11" s="30"/>
      <c r="M11" s="28"/>
      <c r="N11" s="35"/>
      <c r="O11" s="28"/>
      <c r="P11" s="28"/>
      <c r="Q11" s="28"/>
      <c r="R11" s="22"/>
    </row>
    <row r="12" spans="1:18" x14ac:dyDescent="0.15">
      <c r="D12" s="4"/>
      <c r="E12" s="4"/>
      <c r="F12" s="12"/>
      <c r="G12" s="36">
        <f>SUM(G13:G21)</f>
        <v>40</v>
      </c>
      <c r="H12" s="37"/>
      <c r="I12" s="37"/>
      <c r="J12" s="38"/>
      <c r="K12" s="38"/>
      <c r="L12" s="38"/>
      <c r="M12" s="39"/>
      <c r="N12" s="40">
        <f>SUM(N13:N21)</f>
        <v>40</v>
      </c>
      <c r="O12" s="41"/>
      <c r="P12" s="41"/>
      <c r="Q12" s="41"/>
    </row>
    <row r="13" spans="1:18" ht="14.25" x14ac:dyDescent="0.15">
      <c r="D13" s="126" t="s">
        <v>25</v>
      </c>
      <c r="E13" s="158">
        <v>1552</v>
      </c>
      <c r="F13" s="140"/>
      <c r="G13" s="128">
        <f>MAX(IF($E$4&gt;16,16,$E$4-16),0)</f>
        <v>16</v>
      </c>
      <c r="H13" s="140"/>
      <c r="I13" s="141">
        <f>E13</f>
        <v>1552</v>
      </c>
      <c r="J13" s="13"/>
      <c r="K13" s="126" t="s">
        <v>25</v>
      </c>
      <c r="L13" s="158">
        <v>1860</v>
      </c>
      <c r="M13" s="127"/>
      <c r="N13" s="128">
        <f>MAX(IF($E$4&gt;16,16,$E$4-16),0)</f>
        <v>16</v>
      </c>
      <c r="O13" s="127"/>
      <c r="P13" s="129">
        <f>L13</f>
        <v>1860</v>
      </c>
      <c r="Q13" s="149"/>
    </row>
    <row r="14" spans="1:18" ht="14.25" x14ac:dyDescent="0.15">
      <c r="D14" s="130" t="s">
        <v>26</v>
      </c>
      <c r="E14" s="142">
        <v>106</v>
      </c>
      <c r="F14" s="143" t="s">
        <v>10</v>
      </c>
      <c r="G14" s="133">
        <f>MAX(IF($E$4-16&gt;14,14,$E$4-16),0)</f>
        <v>14</v>
      </c>
      <c r="H14" s="143" t="s">
        <v>11</v>
      </c>
      <c r="I14" s="144">
        <f>E14*G14</f>
        <v>1484</v>
      </c>
      <c r="J14" s="13"/>
      <c r="K14" s="130" t="s">
        <v>26</v>
      </c>
      <c r="L14" s="131">
        <v>127</v>
      </c>
      <c r="M14" s="132" t="s">
        <v>10</v>
      </c>
      <c r="N14" s="133">
        <f>MAX(IF($E$4-16&gt;14,14,$E$4-16),0)</f>
        <v>14</v>
      </c>
      <c r="O14" s="132" t="s">
        <v>11</v>
      </c>
      <c r="P14" s="134">
        <f>L14*N14</f>
        <v>1778</v>
      </c>
      <c r="Q14" s="149"/>
    </row>
    <row r="15" spans="1:18" ht="14.25" x14ac:dyDescent="0.15">
      <c r="D15" s="130" t="s">
        <v>27</v>
      </c>
      <c r="E15" s="142">
        <v>115</v>
      </c>
      <c r="F15" s="143" t="s">
        <v>10</v>
      </c>
      <c r="G15" s="133">
        <f>MAX(IF($E$4-30&gt;10,10,$E$4-30),0)</f>
        <v>10</v>
      </c>
      <c r="H15" s="143" t="s">
        <v>11</v>
      </c>
      <c r="I15" s="144">
        <f t="shared" ref="I15:I21" si="0">E15*G15</f>
        <v>1150</v>
      </c>
      <c r="J15" s="13"/>
      <c r="K15" s="130" t="s">
        <v>27</v>
      </c>
      <c r="L15" s="131">
        <v>137</v>
      </c>
      <c r="M15" s="132" t="s">
        <v>10</v>
      </c>
      <c r="N15" s="133">
        <f>MAX(IF($E$4-30&gt;10,10,$E$4-30),0)</f>
        <v>10</v>
      </c>
      <c r="O15" s="132" t="s">
        <v>11</v>
      </c>
      <c r="P15" s="134">
        <f t="shared" ref="P15:P21" si="1">L15*N15</f>
        <v>1370</v>
      </c>
      <c r="Q15" s="149"/>
    </row>
    <row r="16" spans="1:18" ht="14.25" x14ac:dyDescent="0.15">
      <c r="D16" s="130" t="s">
        <v>28</v>
      </c>
      <c r="E16" s="142">
        <v>125</v>
      </c>
      <c r="F16" s="143" t="s">
        <v>10</v>
      </c>
      <c r="G16" s="133">
        <f>MAX(IF($E$4-40&gt;20,20,$E$4-40),0)</f>
        <v>0</v>
      </c>
      <c r="H16" s="143" t="s">
        <v>11</v>
      </c>
      <c r="I16" s="144">
        <f t="shared" si="0"/>
        <v>0</v>
      </c>
      <c r="J16" s="13"/>
      <c r="K16" s="130" t="s">
        <v>28</v>
      </c>
      <c r="L16" s="131">
        <v>149</v>
      </c>
      <c r="M16" s="132" t="s">
        <v>10</v>
      </c>
      <c r="N16" s="133">
        <f>MAX(IF($E$4-40&gt;20,20,$E$4-40),0)</f>
        <v>0</v>
      </c>
      <c r="O16" s="132" t="s">
        <v>11</v>
      </c>
      <c r="P16" s="134">
        <f t="shared" si="1"/>
        <v>0</v>
      </c>
      <c r="Q16" s="149"/>
    </row>
    <row r="17" spans="4:17" ht="14.25" x14ac:dyDescent="0.15">
      <c r="D17" s="130" t="s">
        <v>29</v>
      </c>
      <c r="E17" s="142">
        <v>139</v>
      </c>
      <c r="F17" s="143" t="s">
        <v>10</v>
      </c>
      <c r="G17" s="133">
        <f>MAX(IF($E$4-60&gt;40,40,$E$4-60),0)</f>
        <v>0</v>
      </c>
      <c r="H17" s="143" t="s">
        <v>11</v>
      </c>
      <c r="I17" s="144">
        <f t="shared" si="0"/>
        <v>0</v>
      </c>
      <c r="J17" s="13"/>
      <c r="K17" s="130" t="s">
        <v>29</v>
      </c>
      <c r="L17" s="131">
        <v>165</v>
      </c>
      <c r="M17" s="132" t="s">
        <v>10</v>
      </c>
      <c r="N17" s="133">
        <f>MAX(IF($E$4-60&gt;40,40,$E$4-60),0)</f>
        <v>0</v>
      </c>
      <c r="O17" s="132" t="s">
        <v>11</v>
      </c>
      <c r="P17" s="134">
        <f t="shared" si="1"/>
        <v>0</v>
      </c>
      <c r="Q17" s="149"/>
    </row>
    <row r="18" spans="4:17" ht="14.25" x14ac:dyDescent="0.15">
      <c r="D18" s="130" t="s">
        <v>30</v>
      </c>
      <c r="E18" s="142">
        <v>163</v>
      </c>
      <c r="F18" s="143" t="s">
        <v>10</v>
      </c>
      <c r="G18" s="133">
        <f>MAX(IF($E$4-100&gt;100,100,$E$4-100),0)</f>
        <v>0</v>
      </c>
      <c r="H18" s="143" t="s">
        <v>11</v>
      </c>
      <c r="I18" s="144">
        <f t="shared" si="0"/>
        <v>0</v>
      </c>
      <c r="J18" s="13"/>
      <c r="K18" s="130" t="s">
        <v>30</v>
      </c>
      <c r="L18" s="131">
        <v>186</v>
      </c>
      <c r="M18" s="132" t="s">
        <v>10</v>
      </c>
      <c r="N18" s="133">
        <f>MAX(IF($E$4-100&gt;100,100,$E$4-100),0)</f>
        <v>0</v>
      </c>
      <c r="O18" s="132" t="s">
        <v>11</v>
      </c>
      <c r="P18" s="134">
        <f t="shared" si="1"/>
        <v>0</v>
      </c>
      <c r="Q18" s="149"/>
    </row>
    <row r="19" spans="4:17" ht="14.25" x14ac:dyDescent="0.15">
      <c r="D19" s="130" t="s">
        <v>31</v>
      </c>
      <c r="E19" s="142">
        <v>214</v>
      </c>
      <c r="F19" s="143" t="s">
        <v>10</v>
      </c>
      <c r="G19" s="133">
        <f>MAX(IF($E$4-200&gt;400,400,$E$4-200),0)</f>
        <v>0</v>
      </c>
      <c r="H19" s="143" t="s">
        <v>11</v>
      </c>
      <c r="I19" s="144">
        <f t="shared" si="0"/>
        <v>0</v>
      </c>
      <c r="J19" s="13"/>
      <c r="K19" s="130" t="s">
        <v>31</v>
      </c>
      <c r="L19" s="131">
        <v>243</v>
      </c>
      <c r="M19" s="132" t="s">
        <v>10</v>
      </c>
      <c r="N19" s="133">
        <f>MAX(IF($E$4-200&gt;400,400,$E$4-200),0)</f>
        <v>0</v>
      </c>
      <c r="O19" s="132" t="s">
        <v>11</v>
      </c>
      <c r="P19" s="134">
        <f t="shared" si="1"/>
        <v>0</v>
      </c>
      <c r="Q19" s="149"/>
    </row>
    <row r="20" spans="4:17" ht="14.25" x14ac:dyDescent="0.15">
      <c r="D20" s="130" t="s">
        <v>32</v>
      </c>
      <c r="E20" s="142">
        <v>267</v>
      </c>
      <c r="F20" s="143" t="s">
        <v>10</v>
      </c>
      <c r="G20" s="133">
        <f>MAX(IF($E$4-600&gt;1400,1400,$E$4-600),0)</f>
        <v>0</v>
      </c>
      <c r="H20" s="143" t="s">
        <v>11</v>
      </c>
      <c r="I20" s="144">
        <f t="shared" si="0"/>
        <v>0</v>
      </c>
      <c r="J20" s="13"/>
      <c r="K20" s="130" t="s">
        <v>32</v>
      </c>
      <c r="L20" s="131">
        <v>302</v>
      </c>
      <c r="M20" s="132" t="s">
        <v>10</v>
      </c>
      <c r="N20" s="133">
        <f>MAX(IF($E$4-600&gt;1400,1400,$E$4-600),0)</f>
        <v>0</v>
      </c>
      <c r="O20" s="132" t="s">
        <v>11</v>
      </c>
      <c r="P20" s="134">
        <f t="shared" si="1"/>
        <v>0</v>
      </c>
      <c r="Q20" s="149"/>
    </row>
    <row r="21" spans="4:17" ht="15" thickBot="1" x14ac:dyDescent="0.2">
      <c r="D21" s="135" t="s">
        <v>33</v>
      </c>
      <c r="E21" s="145">
        <v>325</v>
      </c>
      <c r="F21" s="146" t="s">
        <v>10</v>
      </c>
      <c r="G21" s="138">
        <f>MAX($E$4-2000,0)</f>
        <v>0</v>
      </c>
      <c r="H21" s="146" t="s">
        <v>11</v>
      </c>
      <c r="I21" s="147">
        <f t="shared" si="0"/>
        <v>0</v>
      </c>
      <c r="J21" s="13"/>
      <c r="K21" s="135" t="s">
        <v>33</v>
      </c>
      <c r="L21" s="136">
        <v>364</v>
      </c>
      <c r="M21" s="137" t="s">
        <v>10</v>
      </c>
      <c r="N21" s="138">
        <f>MAX($E$4-2000,0)</f>
        <v>0</v>
      </c>
      <c r="O21" s="137" t="s">
        <v>11</v>
      </c>
      <c r="P21" s="139">
        <f t="shared" si="1"/>
        <v>0</v>
      </c>
      <c r="Q21" s="149"/>
    </row>
    <row r="22" spans="4:17" ht="15" thickTop="1" x14ac:dyDescent="0.15">
      <c r="D22" s="23"/>
      <c r="E22" s="159"/>
      <c r="F22" s="160"/>
      <c r="G22" s="161" t="s">
        <v>12</v>
      </c>
      <c r="H22" s="160"/>
      <c r="I22" s="162">
        <f>SUM(I13:I21)</f>
        <v>4186</v>
      </c>
      <c r="J22" s="13"/>
      <c r="K22" s="163"/>
      <c r="L22" s="164"/>
      <c r="M22" s="24"/>
      <c r="N22" s="165" t="s">
        <v>12</v>
      </c>
      <c r="O22" s="24"/>
      <c r="P22" s="25">
        <f>SUM(P13:P21)</f>
        <v>5008</v>
      </c>
      <c r="Q22" s="149"/>
    </row>
    <row r="23" spans="4:17" ht="14.25" x14ac:dyDescent="0.15">
      <c r="D23" s="23"/>
      <c r="E23" s="159"/>
      <c r="F23" s="160"/>
      <c r="G23" s="161" t="s">
        <v>50</v>
      </c>
      <c r="H23" s="160"/>
      <c r="I23" s="162">
        <f>ROUNDDOWN(I22*0.1,0)</f>
        <v>418</v>
      </c>
      <c r="J23" s="13"/>
      <c r="K23" s="163"/>
      <c r="L23" s="164"/>
      <c r="M23" s="24"/>
      <c r="N23" s="165" t="s">
        <v>50</v>
      </c>
      <c r="O23" s="24"/>
      <c r="P23" s="25">
        <f>ROUNDDOWN(P22*0.1,0)</f>
        <v>500</v>
      </c>
      <c r="Q23" s="149"/>
    </row>
    <row r="24" spans="4:17" ht="14.25" x14ac:dyDescent="0.15">
      <c r="D24" s="166"/>
      <c r="E24" s="167"/>
      <c r="F24" s="168"/>
      <c r="G24" s="157" t="s">
        <v>0</v>
      </c>
      <c r="H24" s="168"/>
      <c r="I24" s="169">
        <f>I22+I23</f>
        <v>4604</v>
      </c>
      <c r="J24" s="13"/>
      <c r="K24" s="170"/>
      <c r="L24" s="171"/>
      <c r="M24" s="172"/>
      <c r="N24" s="173" t="s">
        <v>0</v>
      </c>
      <c r="O24" s="172"/>
      <c r="P24" s="174">
        <f>P22+P23</f>
        <v>5508</v>
      </c>
      <c r="Q24" s="149"/>
    </row>
    <row r="25" spans="4:17" ht="14.25" thickBot="1" x14ac:dyDescent="0.2">
      <c r="D25" s="42"/>
      <c r="E25" s="43"/>
      <c r="F25" s="9"/>
      <c r="G25" s="9"/>
      <c r="H25" s="9"/>
      <c r="I25" s="9"/>
      <c r="J25" s="26"/>
      <c r="K25" s="10"/>
      <c r="L25" s="44"/>
      <c r="M25" s="26"/>
      <c r="N25" s="26"/>
      <c r="O25" s="26"/>
      <c r="P25" s="26"/>
      <c r="Q25" s="26"/>
    </row>
    <row r="26" spans="4:17" x14ac:dyDescent="0.15">
      <c r="D26" s="42"/>
      <c r="E26" s="43"/>
      <c r="F26" s="9"/>
      <c r="G26" s="9"/>
      <c r="H26" s="9"/>
      <c r="I26" s="9"/>
      <c r="J26" s="26"/>
      <c r="K26" s="10"/>
      <c r="L26" s="45" t="s">
        <v>47</v>
      </c>
      <c r="M26" s="184" t="s">
        <v>19</v>
      </c>
      <c r="N26" s="184"/>
      <c r="O26" s="184"/>
      <c r="P26" s="46">
        <f>P22-I22</f>
        <v>822</v>
      </c>
      <c r="Q26" s="53"/>
    </row>
    <row r="27" spans="4:17" ht="14.25" thickBot="1" x14ac:dyDescent="0.2">
      <c r="D27" s="42"/>
      <c r="E27" s="43"/>
      <c r="F27" s="9"/>
      <c r="G27" s="9"/>
      <c r="H27" s="9"/>
      <c r="I27" s="9"/>
      <c r="J27" s="26"/>
      <c r="K27" s="10"/>
      <c r="L27" s="47"/>
      <c r="M27" s="185" t="s">
        <v>20</v>
      </c>
      <c r="N27" s="185"/>
      <c r="O27" s="185"/>
      <c r="P27" s="48">
        <f>P24-I24</f>
        <v>904</v>
      </c>
      <c r="Q27" s="53"/>
    </row>
    <row r="28" spans="4:17" ht="14.25" thickBot="1" x14ac:dyDescent="0.2">
      <c r="D28" s="49" t="s">
        <v>48</v>
      </c>
      <c r="E28" s="43"/>
      <c r="F28" s="9"/>
      <c r="G28" s="9"/>
      <c r="H28" s="9"/>
      <c r="I28" s="9"/>
      <c r="J28" s="26"/>
      <c r="K28" s="10"/>
      <c r="L28" s="50"/>
      <c r="M28" s="51"/>
      <c r="N28" s="52"/>
      <c r="O28" s="52"/>
      <c r="P28" s="53"/>
      <c r="Q28" s="53"/>
    </row>
    <row r="29" spans="4:17" x14ac:dyDescent="0.15">
      <c r="D29" s="54"/>
      <c r="E29" s="55"/>
      <c r="F29" s="186" t="s">
        <v>22</v>
      </c>
      <c r="G29" s="186"/>
      <c r="H29" s="186"/>
      <c r="I29" s="56" t="s">
        <v>23</v>
      </c>
      <c r="J29" s="26"/>
      <c r="K29" s="10"/>
      <c r="L29" s="44"/>
      <c r="M29" s="26"/>
      <c r="N29" s="26"/>
      <c r="O29" s="26"/>
      <c r="P29" s="26"/>
      <c r="Q29" s="26"/>
    </row>
    <row r="30" spans="4:17" x14ac:dyDescent="0.15">
      <c r="D30" s="57" t="s">
        <v>18</v>
      </c>
      <c r="E30" s="58" t="s">
        <v>19</v>
      </c>
      <c r="F30" s="187">
        <f>I22+I46</f>
        <v>8748</v>
      </c>
      <c r="G30" s="187"/>
      <c r="H30" s="187"/>
      <c r="I30" s="59">
        <f>I22+P47</f>
        <v>10430</v>
      </c>
      <c r="J30" s="26"/>
      <c r="K30" s="10"/>
      <c r="L30" s="44"/>
      <c r="M30" s="26"/>
      <c r="N30" s="26"/>
      <c r="O30" s="26"/>
      <c r="P30" s="26"/>
      <c r="Q30" s="26"/>
    </row>
    <row r="31" spans="4:17" x14ac:dyDescent="0.15">
      <c r="D31" s="60"/>
      <c r="E31" s="61" t="s">
        <v>20</v>
      </c>
      <c r="F31" s="201">
        <f>I24+I48</f>
        <v>9622</v>
      </c>
      <c r="G31" s="201"/>
      <c r="H31" s="201"/>
      <c r="I31" s="62">
        <f>I24+P49</f>
        <v>11472</v>
      </c>
      <c r="J31" s="26"/>
      <c r="K31" s="10"/>
      <c r="L31" s="44"/>
      <c r="M31" s="26"/>
      <c r="N31" s="26"/>
      <c r="O31" s="26"/>
      <c r="P31" s="26"/>
      <c r="Q31" s="26"/>
    </row>
    <row r="32" spans="4:17" x14ac:dyDescent="0.15">
      <c r="D32" s="57" t="s">
        <v>21</v>
      </c>
      <c r="E32" s="58" t="s">
        <v>19</v>
      </c>
      <c r="F32" s="187">
        <f>P22+I46</f>
        <v>9570</v>
      </c>
      <c r="G32" s="187"/>
      <c r="H32" s="187"/>
      <c r="I32" s="59">
        <f>P22+P47</f>
        <v>11252</v>
      </c>
      <c r="J32" s="26"/>
      <c r="K32" s="10"/>
      <c r="L32" s="44"/>
      <c r="M32" s="26"/>
      <c r="N32" s="26"/>
      <c r="O32" s="26"/>
      <c r="P32" s="26"/>
      <c r="Q32" s="26"/>
    </row>
    <row r="33" spans="4:17" x14ac:dyDescent="0.15">
      <c r="D33" s="60"/>
      <c r="E33" s="61" t="s">
        <v>20</v>
      </c>
      <c r="F33" s="201">
        <f>P24+I48</f>
        <v>10526</v>
      </c>
      <c r="G33" s="201"/>
      <c r="H33" s="201"/>
      <c r="I33" s="62">
        <f>P24+P49</f>
        <v>12376</v>
      </c>
      <c r="J33" s="26"/>
      <c r="K33" s="10"/>
      <c r="L33" s="44"/>
      <c r="M33" s="26"/>
      <c r="N33" s="26"/>
      <c r="O33" s="26"/>
      <c r="P33" s="26"/>
      <c r="Q33" s="26"/>
    </row>
    <row r="34" spans="4:17" x14ac:dyDescent="0.15">
      <c r="D34" s="63" t="s">
        <v>24</v>
      </c>
      <c r="E34" s="64" t="s">
        <v>19</v>
      </c>
      <c r="F34" s="187">
        <f>F32-F30</f>
        <v>822</v>
      </c>
      <c r="G34" s="187"/>
      <c r="H34" s="187"/>
      <c r="I34" s="65">
        <f>I32-I30</f>
        <v>822</v>
      </c>
      <c r="J34" s="26"/>
      <c r="K34" s="10"/>
      <c r="L34" s="44"/>
      <c r="M34" s="26"/>
      <c r="N34" s="26"/>
      <c r="O34" s="26"/>
      <c r="P34" s="26"/>
      <c r="Q34" s="26"/>
    </row>
    <row r="35" spans="4:17" ht="14.25" customHeight="1" thickBot="1" x14ac:dyDescent="0.2">
      <c r="D35" s="66"/>
      <c r="E35" s="67" t="s">
        <v>20</v>
      </c>
      <c r="F35" s="202">
        <f>F33-F31</f>
        <v>904</v>
      </c>
      <c r="G35" s="202"/>
      <c r="H35" s="202"/>
      <c r="I35" s="48">
        <f>I33-I31</f>
        <v>904</v>
      </c>
      <c r="J35" s="26"/>
      <c r="K35" s="10"/>
      <c r="L35" s="44"/>
      <c r="M35" s="26"/>
      <c r="N35" s="26"/>
      <c r="O35" s="26"/>
      <c r="P35" s="26"/>
      <c r="Q35" s="26"/>
    </row>
    <row r="38" spans="4:17" x14ac:dyDescent="0.15">
      <c r="D38" s="68" t="s">
        <v>14</v>
      </c>
      <c r="G38" s="69"/>
      <c r="K38" s="68" t="s">
        <v>55</v>
      </c>
      <c r="L38" s="3"/>
      <c r="M38" s="4"/>
      <c r="N38" s="69"/>
      <c r="O38" s="4"/>
      <c r="P38" s="4"/>
      <c r="Q38" s="4"/>
    </row>
    <row r="39" spans="4:17" x14ac:dyDescent="0.15">
      <c r="D39" s="68"/>
      <c r="G39" s="155">
        <f>SUM(G40:G45)</f>
        <v>40</v>
      </c>
      <c r="H39" s="9"/>
      <c r="I39" s="9"/>
      <c r="J39" s="26"/>
      <c r="K39" s="156"/>
      <c r="L39" s="9"/>
      <c r="M39" s="9"/>
      <c r="N39" s="155">
        <f>SUM(N40:N46)</f>
        <v>40</v>
      </c>
      <c r="O39" s="22"/>
      <c r="P39" s="22"/>
      <c r="Q39" s="22"/>
    </row>
    <row r="40" spans="4:17" x14ac:dyDescent="0.15">
      <c r="D40" s="70" t="s">
        <v>25</v>
      </c>
      <c r="E40" s="71">
        <v>1420</v>
      </c>
      <c r="F40" s="72"/>
      <c r="G40" s="73">
        <f>MAX(IF($E$4&gt;16,16,$E$4-16),0)</f>
        <v>16</v>
      </c>
      <c r="H40" s="72"/>
      <c r="I40" s="74">
        <f>E40</f>
        <v>1420</v>
      </c>
      <c r="J40" s="28"/>
      <c r="K40" s="70" t="s">
        <v>38</v>
      </c>
      <c r="L40" s="71">
        <v>1420</v>
      </c>
      <c r="M40" s="72"/>
      <c r="N40" s="73">
        <f>MAX(IF($E$4&gt;16,16,$E$4-16),0)</f>
        <v>16</v>
      </c>
      <c r="O40" s="72"/>
      <c r="P40" s="74">
        <f>L40</f>
        <v>1420</v>
      </c>
      <c r="Q40" s="150"/>
    </row>
    <row r="41" spans="4:17" x14ac:dyDescent="0.15">
      <c r="D41" s="75" t="s">
        <v>34</v>
      </c>
      <c r="E41" s="76">
        <v>128</v>
      </c>
      <c r="F41" s="77" t="s">
        <v>10</v>
      </c>
      <c r="G41" s="78">
        <f>MAX(IF($E$4-16&gt;14,14,$E$4-16),0)</f>
        <v>14</v>
      </c>
      <c r="H41" s="77" t="s">
        <v>11</v>
      </c>
      <c r="I41" s="79">
        <f>E41*G41</f>
        <v>1792</v>
      </c>
      <c r="J41" s="28"/>
      <c r="K41" s="75" t="s">
        <v>39</v>
      </c>
      <c r="L41" s="76">
        <v>201</v>
      </c>
      <c r="M41" s="77" t="s">
        <v>10</v>
      </c>
      <c r="N41" s="78">
        <f>MAX(IF($E$4-16&gt;84,84,$E$4-16),0)</f>
        <v>24</v>
      </c>
      <c r="O41" s="77" t="s">
        <v>11</v>
      </c>
      <c r="P41" s="79">
        <f>L41*N41</f>
        <v>4824</v>
      </c>
      <c r="Q41" s="150"/>
    </row>
    <row r="42" spans="4:17" x14ac:dyDescent="0.15">
      <c r="D42" s="75" t="s">
        <v>35</v>
      </c>
      <c r="E42" s="76">
        <v>135</v>
      </c>
      <c r="F42" s="77" t="s">
        <v>10</v>
      </c>
      <c r="G42" s="78">
        <f>MAX(IF($E$4-30&gt;10,10,$E$4-30),0)</f>
        <v>10</v>
      </c>
      <c r="H42" s="77" t="s">
        <v>11</v>
      </c>
      <c r="I42" s="79">
        <f t="shared" ref="I42:I45" si="2">E42*G42</f>
        <v>1350</v>
      </c>
      <c r="J42" s="28"/>
      <c r="K42" s="75" t="s">
        <v>40</v>
      </c>
      <c r="L42" s="76">
        <v>221</v>
      </c>
      <c r="M42" s="77" t="s">
        <v>10</v>
      </c>
      <c r="N42" s="78">
        <f>MAX(IF($E$4-100&gt;100,100,$E$4-100),0)</f>
        <v>0</v>
      </c>
      <c r="O42" s="77" t="s">
        <v>11</v>
      </c>
      <c r="P42" s="79">
        <f t="shared" ref="P42:P46" si="3">L42*N42</f>
        <v>0</v>
      </c>
      <c r="Q42" s="150"/>
    </row>
    <row r="43" spans="4:17" x14ac:dyDescent="0.15">
      <c r="D43" s="75" t="s">
        <v>36</v>
      </c>
      <c r="E43" s="76">
        <v>172</v>
      </c>
      <c r="F43" s="77" t="s">
        <v>10</v>
      </c>
      <c r="G43" s="78">
        <f>MAX(IF($E$4-40&gt;20,20,$E$4-40),0)</f>
        <v>0</v>
      </c>
      <c r="H43" s="77" t="s">
        <v>11</v>
      </c>
      <c r="I43" s="79">
        <f t="shared" si="2"/>
        <v>0</v>
      </c>
      <c r="J43" s="28"/>
      <c r="K43" s="75" t="s">
        <v>41</v>
      </c>
      <c r="L43" s="76">
        <v>280</v>
      </c>
      <c r="M43" s="77" t="s">
        <v>10</v>
      </c>
      <c r="N43" s="78">
        <f>MAX(IF($E$4-200&gt;400,400,$E$4-200),0)</f>
        <v>0</v>
      </c>
      <c r="O43" s="77" t="s">
        <v>11</v>
      </c>
      <c r="P43" s="79">
        <f t="shared" si="3"/>
        <v>0</v>
      </c>
      <c r="Q43" s="150"/>
    </row>
    <row r="44" spans="4:17" x14ac:dyDescent="0.15">
      <c r="D44" s="75" t="s">
        <v>29</v>
      </c>
      <c r="E44" s="76">
        <v>237</v>
      </c>
      <c r="F44" s="77" t="s">
        <v>10</v>
      </c>
      <c r="G44" s="78">
        <f>MAX(IF($E$4-60&gt;40,40,$E$4-60),0)</f>
        <v>0</v>
      </c>
      <c r="H44" s="77" t="s">
        <v>11</v>
      </c>
      <c r="I44" s="79">
        <f t="shared" si="2"/>
        <v>0</v>
      </c>
      <c r="J44" s="28"/>
      <c r="K44" s="75" t="s">
        <v>42</v>
      </c>
      <c r="L44" s="76">
        <v>337</v>
      </c>
      <c r="M44" s="77" t="s">
        <v>10</v>
      </c>
      <c r="N44" s="78">
        <f>MAX(IF($E$4-600&gt;1400,1400,$E$4-600),0)</f>
        <v>0</v>
      </c>
      <c r="O44" s="77" t="s">
        <v>11</v>
      </c>
      <c r="P44" s="79">
        <f t="shared" si="3"/>
        <v>0</v>
      </c>
      <c r="Q44" s="150"/>
    </row>
    <row r="45" spans="4:17" ht="14.25" thickBot="1" x14ac:dyDescent="0.2">
      <c r="D45" s="80" t="s">
        <v>37</v>
      </c>
      <c r="E45" s="81">
        <v>294</v>
      </c>
      <c r="F45" s="82" t="s">
        <v>10</v>
      </c>
      <c r="G45" s="83">
        <f>MAX($E$4-100,0)</f>
        <v>0</v>
      </c>
      <c r="H45" s="82" t="s">
        <v>11</v>
      </c>
      <c r="I45" s="84">
        <f t="shared" si="2"/>
        <v>0</v>
      </c>
      <c r="J45" s="28"/>
      <c r="K45" s="75" t="s">
        <v>51</v>
      </c>
      <c r="L45" s="76">
        <v>394</v>
      </c>
      <c r="M45" s="77" t="s">
        <v>10</v>
      </c>
      <c r="N45" s="78">
        <f>MAX(IF($E$4-2000&gt;18000,18000,$E$4-2000),0)</f>
        <v>0</v>
      </c>
      <c r="O45" s="77" t="s">
        <v>11</v>
      </c>
      <c r="P45" s="79">
        <f t="shared" si="3"/>
        <v>0</v>
      </c>
      <c r="Q45" s="150"/>
    </row>
    <row r="46" spans="4:17" ht="15" thickTop="1" thickBot="1" x14ac:dyDescent="0.2">
      <c r="D46" s="75"/>
      <c r="E46" s="85"/>
      <c r="F46" s="77"/>
      <c r="G46" s="86" t="s">
        <v>12</v>
      </c>
      <c r="H46" s="77"/>
      <c r="I46" s="79">
        <f>SUM(I40:I45)</f>
        <v>4562</v>
      </c>
      <c r="J46" s="28"/>
      <c r="K46" s="80" t="s">
        <v>43</v>
      </c>
      <c r="L46" s="81">
        <v>436</v>
      </c>
      <c r="M46" s="82" t="s">
        <v>10</v>
      </c>
      <c r="N46" s="83">
        <f>MAX($E$4-20000,0)</f>
        <v>0</v>
      </c>
      <c r="O46" s="82" t="s">
        <v>11</v>
      </c>
      <c r="P46" s="84">
        <f t="shared" si="3"/>
        <v>0</v>
      </c>
      <c r="Q46" s="150"/>
    </row>
    <row r="47" spans="4:17" ht="14.25" thickTop="1" x14ac:dyDescent="0.15">
      <c r="D47" s="75"/>
      <c r="E47" s="85"/>
      <c r="F47" s="77"/>
      <c r="G47" s="86" t="s">
        <v>13</v>
      </c>
      <c r="H47" s="77"/>
      <c r="I47" s="79">
        <f>ROUNDDOWN(I46*0.1,0)</f>
        <v>456</v>
      </c>
      <c r="J47" s="28"/>
      <c r="K47" s="75"/>
      <c r="L47" s="85"/>
      <c r="M47" s="77"/>
      <c r="N47" s="86" t="s">
        <v>12</v>
      </c>
      <c r="O47" s="77"/>
      <c r="P47" s="79">
        <f>SUM(P40:P46)</f>
        <v>6244</v>
      </c>
      <c r="Q47" s="150"/>
    </row>
    <row r="48" spans="4:17" x14ac:dyDescent="0.15">
      <c r="D48" s="87"/>
      <c r="E48" s="88"/>
      <c r="F48" s="89"/>
      <c r="G48" s="90" t="s">
        <v>0</v>
      </c>
      <c r="H48" s="89"/>
      <c r="I48" s="91">
        <f>I46+I47</f>
        <v>5018</v>
      </c>
      <c r="J48" s="28"/>
      <c r="K48" s="75"/>
      <c r="L48" s="85"/>
      <c r="M48" s="77"/>
      <c r="N48" s="86" t="s">
        <v>13</v>
      </c>
      <c r="O48" s="77"/>
      <c r="P48" s="79">
        <f>ROUNDDOWN(P47*0.1,0)</f>
        <v>624</v>
      </c>
      <c r="Q48" s="150"/>
    </row>
    <row r="49" spans="4:17" x14ac:dyDescent="0.15">
      <c r="D49" s="92"/>
      <c r="E49" s="15"/>
      <c r="F49" s="16"/>
      <c r="G49" s="16"/>
      <c r="H49" s="16"/>
      <c r="I49" s="16"/>
      <c r="J49" s="28"/>
      <c r="K49" s="87"/>
      <c r="L49" s="88"/>
      <c r="M49" s="89"/>
      <c r="N49" s="90" t="s">
        <v>0</v>
      </c>
      <c r="O49" s="89"/>
      <c r="P49" s="91">
        <f>P47+P48</f>
        <v>6868</v>
      </c>
      <c r="Q49" s="150"/>
    </row>
  </sheetData>
  <sheetProtection algorithmName="SHA-512" hashValue="L1hVIQNvdKCwBIX2xzFlx3fPT1UJoN14CrqeJbn2gWZJKoUY0NHhsnEoh29u6v06hvzHGm/xQ/Z03AH5tTK2Sw==" saltValue="su9PlCCSQ3208+lP6V+mSQ==" spinCount="100000" sheet="1" objects="1" scenarios="1"/>
  <mergeCells count="17">
    <mergeCell ref="F31:H31"/>
    <mergeCell ref="F32:H32"/>
    <mergeCell ref="F33:H33"/>
    <mergeCell ref="F34:H34"/>
    <mergeCell ref="F35:H35"/>
    <mergeCell ref="A1:R1"/>
    <mergeCell ref="M26:O26"/>
    <mergeCell ref="M27:O27"/>
    <mergeCell ref="F29:H29"/>
    <mergeCell ref="F30:H30"/>
    <mergeCell ref="M8:O8"/>
    <mergeCell ref="E4:F4"/>
    <mergeCell ref="H8:L8"/>
    <mergeCell ref="H6:L6"/>
    <mergeCell ref="H7:L7"/>
    <mergeCell ref="M6:O6"/>
    <mergeCell ref="M7:O7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AF49"/>
  <sheetViews>
    <sheetView view="pageBreakPreview" zoomScale="70" zoomScaleNormal="85" zoomScaleSheetLayoutView="70" workbookViewId="0">
      <selection activeCell="E5" sqref="E5"/>
    </sheetView>
  </sheetViews>
  <sheetFormatPr defaultRowHeight="13.5" x14ac:dyDescent="0.15"/>
  <cols>
    <col min="1" max="2" width="1.25" customWidth="1"/>
    <col min="3" max="3" width="3.75" style="4" customWidth="1"/>
    <col min="4" max="4" width="13.875" style="5" bestFit="1" customWidth="1"/>
    <col min="5" max="5" width="11.25" style="3" customWidth="1"/>
    <col min="6" max="6" width="2.5" style="4" customWidth="1"/>
    <col min="7" max="7" width="6.25" style="4" customWidth="1"/>
    <col min="8" max="8" width="2.5" style="4" customWidth="1"/>
    <col min="9" max="9" width="13.75" style="4" customWidth="1"/>
    <col min="10" max="10" width="3.125" style="6" customWidth="1"/>
    <col min="11" max="11" width="13.875" style="7" customWidth="1"/>
    <col min="12" max="12" width="11.25" style="8" customWidth="1"/>
    <col min="13" max="13" width="2.5" style="6" customWidth="1"/>
    <col min="14" max="14" width="6.25" style="6" customWidth="1"/>
    <col min="15" max="15" width="2.5" style="6" customWidth="1"/>
    <col min="16" max="16" width="13.75" style="6" customWidth="1"/>
    <col min="17" max="18" width="1.25" style="4" customWidth="1"/>
    <col min="19" max="19" width="1.25" customWidth="1"/>
  </cols>
  <sheetData>
    <row r="1" spans="1:32" ht="30" customHeight="1" x14ac:dyDescent="0.15">
      <c r="A1" s="203" t="s">
        <v>54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"/>
      <c r="T1" s="2"/>
      <c r="U1" s="2"/>
      <c r="V1" s="1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2" customFormat="1" ht="15" customHeight="1" thickBot="1" x14ac:dyDescent="0.2">
      <c r="C2" s="27"/>
      <c r="D2" s="27"/>
      <c r="E2" s="27"/>
      <c r="F2" s="27"/>
      <c r="G2" s="27"/>
      <c r="H2" s="27"/>
      <c r="I2" s="27"/>
      <c r="J2" s="28"/>
      <c r="K2" s="29"/>
      <c r="L2" s="30"/>
      <c r="M2" s="28"/>
      <c r="N2" s="28"/>
      <c r="O2" s="28"/>
      <c r="P2" s="28"/>
      <c r="Q2" s="16"/>
      <c r="R2" s="16"/>
    </row>
    <row r="3" spans="1:32" ht="15" customHeight="1" thickBot="1" x14ac:dyDescent="0.2">
      <c r="B3" s="102"/>
      <c r="C3" s="103"/>
      <c r="D3" s="104"/>
      <c r="E3" s="105"/>
      <c r="F3" s="106"/>
      <c r="G3" s="106"/>
      <c r="H3" s="106"/>
      <c r="I3" s="106"/>
      <c r="J3" s="107"/>
      <c r="K3" s="107"/>
      <c r="L3" s="107"/>
      <c r="M3" s="107"/>
      <c r="N3" s="107"/>
      <c r="O3" s="107"/>
      <c r="P3" s="107"/>
      <c r="Q3" s="10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7" customHeight="1" thickBot="1" x14ac:dyDescent="0.2">
      <c r="B4" s="109"/>
      <c r="C4" s="182"/>
      <c r="D4" s="118" t="s">
        <v>49</v>
      </c>
      <c r="E4" s="191">
        <v>40</v>
      </c>
      <c r="F4" s="192"/>
      <c r="G4" s="181" t="s">
        <v>58</v>
      </c>
      <c r="H4" s="100"/>
      <c r="I4" s="100"/>
      <c r="J4" s="101"/>
      <c r="K4" s="101"/>
      <c r="L4" s="101"/>
      <c r="M4" s="101"/>
      <c r="N4" s="101"/>
      <c r="O4" s="101"/>
      <c r="P4" s="101"/>
      <c r="Q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" customHeight="1" thickBot="1" x14ac:dyDescent="0.2">
      <c r="B5" s="109"/>
      <c r="C5" s="100"/>
      <c r="D5" s="99"/>
      <c r="E5" s="117"/>
      <c r="F5" s="100"/>
      <c r="G5" s="100"/>
      <c r="H5" s="100"/>
      <c r="I5" s="100"/>
      <c r="J5" s="101"/>
      <c r="K5" s="101"/>
      <c r="L5" s="101"/>
      <c r="M5" s="101"/>
      <c r="N5" s="101"/>
      <c r="O5" s="101"/>
      <c r="P5" s="101"/>
      <c r="Q5" s="1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7" customHeight="1" thickBot="1" x14ac:dyDescent="0.2">
      <c r="B6" s="109"/>
      <c r="C6" s="100"/>
      <c r="G6" s="100"/>
      <c r="H6" s="193" t="s">
        <v>44</v>
      </c>
      <c r="I6" s="193"/>
      <c r="J6" s="193"/>
      <c r="K6" s="193"/>
      <c r="L6" s="193"/>
      <c r="M6" s="195">
        <f>I24</f>
        <v>5206</v>
      </c>
      <c r="N6" s="196"/>
      <c r="O6" s="197"/>
      <c r="P6" s="101"/>
      <c r="Q6" s="1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7" customHeight="1" thickBot="1" x14ac:dyDescent="0.2">
      <c r="B7" s="109"/>
      <c r="C7" s="100"/>
      <c r="D7" s="119"/>
      <c r="E7" s="32"/>
      <c r="F7" s="100"/>
      <c r="G7" s="100"/>
      <c r="H7" s="204" t="s">
        <v>45</v>
      </c>
      <c r="I7" s="204"/>
      <c r="J7" s="204"/>
      <c r="K7" s="204"/>
      <c r="L7" s="204"/>
      <c r="M7" s="205">
        <f>P24</f>
        <v>6208</v>
      </c>
      <c r="N7" s="206"/>
      <c r="O7" s="207"/>
      <c r="P7" s="101"/>
      <c r="Q7" s="11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7" customHeight="1" thickBot="1" x14ac:dyDescent="0.2">
      <c r="B8" s="109"/>
      <c r="C8" s="100"/>
      <c r="D8" s="119"/>
      <c r="E8" s="32"/>
      <c r="F8" s="100"/>
      <c r="G8" s="100"/>
      <c r="H8" s="193" t="s">
        <v>46</v>
      </c>
      <c r="I8" s="193"/>
      <c r="J8" s="193"/>
      <c r="K8" s="193"/>
      <c r="L8" s="193"/>
      <c r="M8" s="188">
        <f>M7-M6</f>
        <v>1002</v>
      </c>
      <c r="N8" s="189"/>
      <c r="O8" s="190"/>
      <c r="P8" s="101"/>
      <c r="Q8" s="11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 customHeight="1" thickBot="1" x14ac:dyDescent="0.2">
      <c r="B9" s="111"/>
      <c r="C9" s="120"/>
      <c r="D9" s="121"/>
      <c r="E9" s="122"/>
      <c r="F9" s="120"/>
      <c r="G9" s="120"/>
      <c r="H9" s="123"/>
      <c r="I9" s="123"/>
      <c r="J9" s="123"/>
      <c r="K9" s="123"/>
      <c r="L9" s="123"/>
      <c r="M9" s="33"/>
      <c r="N9" s="33"/>
      <c r="O9" s="33"/>
      <c r="P9" s="124"/>
      <c r="Q9" s="125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4.25" customHeight="1" x14ac:dyDescent="0.15">
      <c r="D10" s="31"/>
      <c r="E10" s="32"/>
      <c r="J10" s="7"/>
      <c r="L10" s="7"/>
      <c r="M10" s="7"/>
      <c r="N10" s="7"/>
      <c r="O10" s="7"/>
      <c r="P10" s="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8.75" customHeight="1" x14ac:dyDescent="0.15">
      <c r="D11" s="112" t="s">
        <v>57</v>
      </c>
      <c r="E11" s="113"/>
      <c r="F11" s="114"/>
      <c r="G11" s="115"/>
      <c r="H11" s="114"/>
      <c r="I11" s="114"/>
      <c r="J11" s="116"/>
      <c r="K11" s="148" t="s">
        <v>56</v>
      </c>
      <c r="L11" s="18"/>
      <c r="M11" s="19"/>
      <c r="N11" s="20"/>
      <c r="O11" s="19"/>
      <c r="P11" s="19"/>
      <c r="Q11" s="16"/>
      <c r="R11" s="1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4.25" customHeight="1" x14ac:dyDescent="0.15">
      <c r="D12" s="12"/>
      <c r="E12" s="12"/>
      <c r="F12" s="12"/>
      <c r="G12" s="36">
        <f>SUM(G13:G21)</f>
        <v>40</v>
      </c>
      <c r="H12" s="37"/>
      <c r="I12" s="37"/>
      <c r="J12" s="41"/>
      <c r="K12" s="39"/>
      <c r="L12" s="39"/>
      <c r="M12" s="39"/>
      <c r="N12" s="40">
        <f>SUM(N13:N21)</f>
        <v>40</v>
      </c>
      <c r="O12" s="41"/>
      <c r="P12" s="41"/>
      <c r="Q12" s="93"/>
      <c r="R12" s="9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4.25" x14ac:dyDescent="0.15">
      <c r="D13" s="126" t="s">
        <v>1</v>
      </c>
      <c r="E13" s="158">
        <v>776</v>
      </c>
      <c r="F13" s="140"/>
      <c r="G13" s="128">
        <f>MAX(IF($E$4&gt;8,8,$E$4-8),0)</f>
        <v>8</v>
      </c>
      <c r="H13" s="140"/>
      <c r="I13" s="141">
        <f>E13</f>
        <v>776</v>
      </c>
      <c r="J13" s="21"/>
      <c r="K13" s="175" t="s">
        <v>1</v>
      </c>
      <c r="L13" s="158">
        <v>930</v>
      </c>
      <c r="M13" s="127"/>
      <c r="N13" s="176">
        <f>MAX(IF($E$4&gt;8,8,$E$4-8),0)</f>
        <v>8</v>
      </c>
      <c r="O13" s="127"/>
      <c r="P13" s="129">
        <f>L13</f>
        <v>930</v>
      </c>
      <c r="Q13" s="16"/>
      <c r="R13" s="16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4.25" x14ac:dyDescent="0.15">
      <c r="D14" s="130" t="s">
        <v>2</v>
      </c>
      <c r="E14" s="142">
        <v>106</v>
      </c>
      <c r="F14" s="143" t="s">
        <v>10</v>
      </c>
      <c r="G14" s="133">
        <f>MAX(IF($E$4-8&gt;7,7,$E$4-8),0)</f>
        <v>7</v>
      </c>
      <c r="H14" s="143" t="s">
        <v>11</v>
      </c>
      <c r="I14" s="144">
        <f>E14*G14</f>
        <v>742</v>
      </c>
      <c r="J14" s="21"/>
      <c r="K14" s="177" t="s">
        <v>2</v>
      </c>
      <c r="L14" s="131">
        <v>127</v>
      </c>
      <c r="M14" s="132" t="s">
        <v>10</v>
      </c>
      <c r="N14" s="178">
        <f>MAX(IF($E$4-8&gt;7,7,$E$4-8),0)</f>
        <v>7</v>
      </c>
      <c r="O14" s="132" t="s">
        <v>11</v>
      </c>
      <c r="P14" s="134">
        <f>L14*N14</f>
        <v>889</v>
      </c>
      <c r="Q14" s="16"/>
      <c r="R14" s="1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4.25" x14ac:dyDescent="0.15">
      <c r="D15" s="130" t="s">
        <v>3</v>
      </c>
      <c r="E15" s="142">
        <v>115</v>
      </c>
      <c r="F15" s="143" t="s">
        <v>10</v>
      </c>
      <c r="G15" s="133">
        <f>MAX(IF($E$4-15&gt;5,5,$E$4-15),0)</f>
        <v>5</v>
      </c>
      <c r="H15" s="143" t="s">
        <v>11</v>
      </c>
      <c r="I15" s="144">
        <f t="shared" ref="I15:I21" si="0">E15*G15</f>
        <v>575</v>
      </c>
      <c r="J15" s="21"/>
      <c r="K15" s="177" t="s">
        <v>3</v>
      </c>
      <c r="L15" s="131">
        <v>137</v>
      </c>
      <c r="M15" s="132" t="s">
        <v>10</v>
      </c>
      <c r="N15" s="178">
        <f>MAX(IF($E$4-15&gt;5,5,$E$4-15),0)</f>
        <v>5</v>
      </c>
      <c r="O15" s="132" t="s">
        <v>11</v>
      </c>
      <c r="P15" s="134">
        <f t="shared" ref="P15:P21" si="1">L15*N15</f>
        <v>685</v>
      </c>
      <c r="Q15" s="16"/>
      <c r="R15" s="1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4.25" x14ac:dyDescent="0.15">
      <c r="D16" s="130" t="s">
        <v>4</v>
      </c>
      <c r="E16" s="142">
        <v>125</v>
      </c>
      <c r="F16" s="143" t="s">
        <v>10</v>
      </c>
      <c r="G16" s="133">
        <f>MAX(IF($E$4-20&gt;10,10,$E$4-20),0)</f>
        <v>10</v>
      </c>
      <c r="H16" s="143" t="s">
        <v>11</v>
      </c>
      <c r="I16" s="144">
        <f t="shared" si="0"/>
        <v>1250</v>
      </c>
      <c r="J16" s="21"/>
      <c r="K16" s="177" t="s">
        <v>4</v>
      </c>
      <c r="L16" s="131">
        <v>149</v>
      </c>
      <c r="M16" s="132" t="s">
        <v>10</v>
      </c>
      <c r="N16" s="178">
        <f>MAX(IF($E$4-20&gt;10,10,$E$4-20),0)</f>
        <v>10</v>
      </c>
      <c r="O16" s="132" t="s">
        <v>11</v>
      </c>
      <c r="P16" s="134">
        <f t="shared" si="1"/>
        <v>1490</v>
      </c>
      <c r="Q16" s="16"/>
      <c r="R16" s="1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4:32" ht="14.25" x14ac:dyDescent="0.15">
      <c r="D17" s="130" t="s">
        <v>5</v>
      </c>
      <c r="E17" s="142">
        <v>139</v>
      </c>
      <c r="F17" s="143" t="s">
        <v>10</v>
      </c>
      <c r="G17" s="133">
        <f>MAX(IF($E$4-30&gt;20,20,$E$4-30),0)</f>
        <v>10</v>
      </c>
      <c r="H17" s="143" t="s">
        <v>11</v>
      </c>
      <c r="I17" s="144">
        <f t="shared" si="0"/>
        <v>1390</v>
      </c>
      <c r="J17" s="21"/>
      <c r="K17" s="177" t="s">
        <v>5</v>
      </c>
      <c r="L17" s="131">
        <v>165</v>
      </c>
      <c r="M17" s="132" t="s">
        <v>10</v>
      </c>
      <c r="N17" s="178">
        <f>MAX(IF($E$4-30&gt;20,20,$E$4-30),0)</f>
        <v>10</v>
      </c>
      <c r="O17" s="132" t="s">
        <v>11</v>
      </c>
      <c r="P17" s="134">
        <f t="shared" si="1"/>
        <v>1650</v>
      </c>
      <c r="Q17" s="16"/>
      <c r="R17" s="1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4:32" ht="14.25" x14ac:dyDescent="0.15">
      <c r="D18" s="130" t="s">
        <v>6</v>
      </c>
      <c r="E18" s="142">
        <v>163</v>
      </c>
      <c r="F18" s="143" t="s">
        <v>10</v>
      </c>
      <c r="G18" s="133">
        <f>MAX(IF($E$4-50&gt;50,50,$E$4-50),0)</f>
        <v>0</v>
      </c>
      <c r="H18" s="143" t="s">
        <v>11</v>
      </c>
      <c r="I18" s="144">
        <f t="shared" si="0"/>
        <v>0</v>
      </c>
      <c r="J18" s="21"/>
      <c r="K18" s="177" t="s">
        <v>6</v>
      </c>
      <c r="L18" s="131">
        <v>186</v>
      </c>
      <c r="M18" s="132" t="s">
        <v>10</v>
      </c>
      <c r="N18" s="178">
        <f>MAX(IF($E$4-50&gt;50,50,$E$4-50),0)</f>
        <v>0</v>
      </c>
      <c r="O18" s="132" t="s">
        <v>11</v>
      </c>
      <c r="P18" s="134">
        <f t="shared" si="1"/>
        <v>0</v>
      </c>
      <c r="Q18" s="16"/>
      <c r="R18" s="1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4:32" ht="14.25" x14ac:dyDescent="0.15">
      <c r="D19" s="130" t="s">
        <v>7</v>
      </c>
      <c r="E19" s="142">
        <v>214</v>
      </c>
      <c r="F19" s="143" t="s">
        <v>10</v>
      </c>
      <c r="G19" s="133">
        <f>MAX(IF($E$4-100&gt;200,200,$E$4-100),0)</f>
        <v>0</v>
      </c>
      <c r="H19" s="143" t="s">
        <v>11</v>
      </c>
      <c r="I19" s="144">
        <f t="shared" si="0"/>
        <v>0</v>
      </c>
      <c r="J19" s="21"/>
      <c r="K19" s="177" t="s">
        <v>7</v>
      </c>
      <c r="L19" s="131">
        <v>243</v>
      </c>
      <c r="M19" s="132" t="s">
        <v>10</v>
      </c>
      <c r="N19" s="178">
        <f>MAX(IF($E$4-100&gt;200,200,$E$4-100),0)</f>
        <v>0</v>
      </c>
      <c r="O19" s="132" t="s">
        <v>11</v>
      </c>
      <c r="P19" s="134">
        <f t="shared" si="1"/>
        <v>0</v>
      </c>
      <c r="Q19" s="16"/>
      <c r="R19" s="16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4:32" ht="14.25" x14ac:dyDescent="0.15">
      <c r="D20" s="130" t="s">
        <v>8</v>
      </c>
      <c r="E20" s="142">
        <v>267</v>
      </c>
      <c r="F20" s="143" t="s">
        <v>10</v>
      </c>
      <c r="G20" s="133">
        <f>MAX(IF($E$4-300&gt;700,700,$E$4-300),0)</f>
        <v>0</v>
      </c>
      <c r="H20" s="143" t="s">
        <v>11</v>
      </c>
      <c r="I20" s="144">
        <f t="shared" si="0"/>
        <v>0</v>
      </c>
      <c r="J20" s="21"/>
      <c r="K20" s="177" t="s">
        <v>8</v>
      </c>
      <c r="L20" s="131">
        <v>302</v>
      </c>
      <c r="M20" s="132" t="s">
        <v>10</v>
      </c>
      <c r="N20" s="178">
        <f>MAX(IF($E$4-300&gt;700,700,$E$4-300),0)</f>
        <v>0</v>
      </c>
      <c r="O20" s="132" t="s">
        <v>11</v>
      </c>
      <c r="P20" s="134">
        <f t="shared" si="1"/>
        <v>0</v>
      </c>
      <c r="Q20" s="16"/>
      <c r="R20" s="1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4:32" ht="15" thickBot="1" x14ac:dyDescent="0.2">
      <c r="D21" s="135" t="s">
        <v>9</v>
      </c>
      <c r="E21" s="145">
        <v>325</v>
      </c>
      <c r="F21" s="146" t="s">
        <v>10</v>
      </c>
      <c r="G21" s="138">
        <f>MAX($E$4-1000,0)</f>
        <v>0</v>
      </c>
      <c r="H21" s="146" t="s">
        <v>11</v>
      </c>
      <c r="I21" s="147">
        <f t="shared" si="0"/>
        <v>0</v>
      </c>
      <c r="J21" s="21"/>
      <c r="K21" s="179" t="s">
        <v>9</v>
      </c>
      <c r="L21" s="136">
        <v>364</v>
      </c>
      <c r="M21" s="137" t="s">
        <v>10</v>
      </c>
      <c r="N21" s="180">
        <f>MAX($E$4-1000,0)</f>
        <v>0</v>
      </c>
      <c r="O21" s="137" t="s">
        <v>11</v>
      </c>
      <c r="P21" s="139">
        <f t="shared" si="1"/>
        <v>0</v>
      </c>
      <c r="Q21" s="16"/>
      <c r="R21" s="1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4:32" ht="15" thickTop="1" x14ac:dyDescent="0.15">
      <c r="D22" s="23"/>
      <c r="E22" s="159"/>
      <c r="F22" s="160"/>
      <c r="G22" s="161" t="s">
        <v>12</v>
      </c>
      <c r="H22" s="160"/>
      <c r="I22" s="162">
        <f>SUM(I13:I21)</f>
        <v>4733</v>
      </c>
      <c r="J22" s="21"/>
      <c r="K22" s="163"/>
      <c r="L22" s="164"/>
      <c r="M22" s="24"/>
      <c r="N22" s="165" t="s">
        <v>12</v>
      </c>
      <c r="O22" s="24"/>
      <c r="P22" s="25">
        <f>SUM(P13:P21)</f>
        <v>5644</v>
      </c>
      <c r="Q22" s="16"/>
      <c r="R22" s="16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4:32" ht="14.25" x14ac:dyDescent="0.15">
      <c r="D23" s="23"/>
      <c r="E23" s="159"/>
      <c r="F23" s="160"/>
      <c r="G23" s="161" t="s">
        <v>50</v>
      </c>
      <c r="H23" s="160"/>
      <c r="I23" s="162">
        <f>ROUNDDOWN(I22*0.1,0)</f>
        <v>473</v>
      </c>
      <c r="J23" s="21"/>
      <c r="K23" s="163"/>
      <c r="L23" s="164"/>
      <c r="M23" s="24"/>
      <c r="N23" s="165" t="s">
        <v>50</v>
      </c>
      <c r="O23" s="24"/>
      <c r="P23" s="25">
        <f>ROUNDDOWN(P22*0.1,0)</f>
        <v>564</v>
      </c>
      <c r="Q23" s="16"/>
      <c r="R23" s="16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4:32" ht="14.25" x14ac:dyDescent="0.15">
      <c r="D24" s="166"/>
      <c r="E24" s="167"/>
      <c r="F24" s="168"/>
      <c r="G24" s="157" t="s">
        <v>0</v>
      </c>
      <c r="H24" s="168"/>
      <c r="I24" s="169">
        <f>I22+I23</f>
        <v>5206</v>
      </c>
      <c r="J24" s="21"/>
      <c r="K24" s="170"/>
      <c r="L24" s="171"/>
      <c r="M24" s="172"/>
      <c r="N24" s="173" t="s">
        <v>0</v>
      </c>
      <c r="O24" s="172"/>
      <c r="P24" s="174">
        <f>P22+P23</f>
        <v>6208</v>
      </c>
      <c r="Q24" s="16"/>
      <c r="R24" s="16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4:32" ht="14.25" thickBot="1" x14ac:dyDescent="0.2">
      <c r="D25" s="94"/>
      <c r="E25" s="95"/>
      <c r="F25" s="12"/>
      <c r="G25" s="12"/>
      <c r="H25" s="12"/>
      <c r="I25" s="12"/>
      <c r="J25" s="39"/>
      <c r="K25" s="11"/>
      <c r="L25" s="96"/>
      <c r="M25" s="39"/>
      <c r="N25" s="39"/>
      <c r="O25" s="39"/>
      <c r="P25" s="39"/>
      <c r="Q25" s="16"/>
      <c r="R25" s="16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4:32" x14ac:dyDescent="0.15">
      <c r="D26" s="94"/>
      <c r="E26" s="95"/>
      <c r="F26" s="12"/>
      <c r="G26" s="12"/>
      <c r="H26" s="12"/>
      <c r="I26" s="12"/>
      <c r="J26" s="39"/>
      <c r="K26" s="11"/>
      <c r="L26" s="45" t="s">
        <v>47</v>
      </c>
      <c r="M26" s="184" t="s">
        <v>19</v>
      </c>
      <c r="N26" s="184"/>
      <c r="O26" s="184"/>
      <c r="P26" s="46">
        <f>P22-I22</f>
        <v>911</v>
      </c>
      <c r="Q26" s="16"/>
      <c r="R26" s="16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4:32" ht="14.25" thickBot="1" x14ac:dyDescent="0.2">
      <c r="D27" s="94"/>
      <c r="E27" s="95"/>
      <c r="F27" s="12"/>
      <c r="G27" s="12"/>
      <c r="H27" s="12"/>
      <c r="I27" s="12"/>
      <c r="J27" s="39"/>
      <c r="K27" s="11"/>
      <c r="L27" s="47"/>
      <c r="M27" s="185" t="s">
        <v>20</v>
      </c>
      <c r="N27" s="185"/>
      <c r="O27" s="185"/>
      <c r="P27" s="48">
        <f>P24-I24</f>
        <v>1002</v>
      </c>
      <c r="Q27" s="16"/>
      <c r="R27" s="16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4:32" ht="14.25" thickBot="1" x14ac:dyDescent="0.2">
      <c r="D28" s="97" t="s">
        <v>48</v>
      </c>
      <c r="E28" s="44"/>
      <c r="F28" s="26"/>
      <c r="G28" s="26"/>
      <c r="H28" s="26"/>
      <c r="I28" s="26"/>
      <c r="J28" s="39"/>
      <c r="K28" s="11"/>
      <c r="L28" s="96"/>
      <c r="M28" s="39"/>
      <c r="N28" s="39"/>
      <c r="O28" s="39"/>
      <c r="P28" s="39"/>
      <c r="Q28" s="16"/>
      <c r="R28" s="16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4:32" x14ac:dyDescent="0.15">
      <c r="D29" s="54"/>
      <c r="E29" s="55"/>
      <c r="F29" s="186" t="s">
        <v>22</v>
      </c>
      <c r="G29" s="186"/>
      <c r="H29" s="186"/>
      <c r="I29" s="56" t="s">
        <v>23</v>
      </c>
      <c r="J29" s="39"/>
      <c r="K29" s="11"/>
      <c r="L29" s="96"/>
      <c r="M29" s="39"/>
      <c r="N29" s="39"/>
      <c r="O29" s="39"/>
      <c r="P29" s="39"/>
      <c r="Q29" s="16"/>
      <c r="R29" s="1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4:32" x14ac:dyDescent="0.15">
      <c r="D30" s="57" t="s">
        <v>18</v>
      </c>
      <c r="E30" s="58" t="s">
        <v>19</v>
      </c>
      <c r="F30" s="187">
        <f>I22+I46</f>
        <v>11104</v>
      </c>
      <c r="G30" s="187"/>
      <c r="H30" s="187"/>
      <c r="I30" s="59">
        <f>I22+P47</f>
        <v>11875</v>
      </c>
      <c r="J30" s="39"/>
      <c r="K30" s="11"/>
      <c r="L30" s="96"/>
      <c r="M30" s="39"/>
      <c r="N30" s="39"/>
      <c r="O30" s="39"/>
      <c r="P30" s="39"/>
      <c r="Q30" s="16"/>
      <c r="R30" s="16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4:32" x14ac:dyDescent="0.15">
      <c r="D31" s="60"/>
      <c r="E31" s="61" t="s">
        <v>20</v>
      </c>
      <c r="F31" s="201">
        <f>I24+I48</f>
        <v>12214</v>
      </c>
      <c r="G31" s="201"/>
      <c r="H31" s="201"/>
      <c r="I31" s="62">
        <f>I24+P49</f>
        <v>13062</v>
      </c>
      <c r="J31" s="39"/>
      <c r="K31" s="11"/>
      <c r="L31" s="96"/>
      <c r="M31" s="39"/>
      <c r="N31" s="39"/>
      <c r="O31" s="39"/>
      <c r="P31" s="39"/>
      <c r="Q31" s="16"/>
      <c r="R31" s="1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4:32" x14ac:dyDescent="0.15">
      <c r="D32" s="57" t="s">
        <v>21</v>
      </c>
      <c r="E32" s="58" t="s">
        <v>19</v>
      </c>
      <c r="F32" s="187">
        <f>P22+I46</f>
        <v>12015</v>
      </c>
      <c r="G32" s="187"/>
      <c r="H32" s="187"/>
      <c r="I32" s="59">
        <f>P22+P47</f>
        <v>12786</v>
      </c>
      <c r="J32" s="39"/>
      <c r="K32" s="11"/>
      <c r="L32" s="96"/>
      <c r="M32" s="39"/>
      <c r="N32" s="39"/>
      <c r="O32" s="39"/>
      <c r="P32" s="39"/>
      <c r="Q32" s="16"/>
      <c r="R32" s="16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4:18" x14ac:dyDescent="0.15">
      <c r="D33" s="60"/>
      <c r="E33" s="61" t="s">
        <v>20</v>
      </c>
      <c r="F33" s="201">
        <f>P24+I48</f>
        <v>13216</v>
      </c>
      <c r="G33" s="201"/>
      <c r="H33" s="201"/>
      <c r="I33" s="62">
        <f>P24+P49</f>
        <v>14064</v>
      </c>
      <c r="J33" s="39"/>
      <c r="K33" s="11"/>
      <c r="L33" s="96"/>
      <c r="M33" s="39"/>
      <c r="N33" s="39"/>
      <c r="O33" s="39"/>
      <c r="P33" s="39"/>
      <c r="Q33" s="16"/>
      <c r="R33" s="16"/>
    </row>
    <row r="34" spans="4:18" x14ac:dyDescent="0.15">
      <c r="D34" s="63" t="s">
        <v>24</v>
      </c>
      <c r="E34" s="64" t="s">
        <v>19</v>
      </c>
      <c r="F34" s="187">
        <f>F32-F30</f>
        <v>911</v>
      </c>
      <c r="G34" s="187"/>
      <c r="H34" s="187"/>
      <c r="I34" s="65">
        <f>I32-I30</f>
        <v>911</v>
      </c>
      <c r="J34" s="39"/>
      <c r="K34" s="11"/>
      <c r="L34" s="96"/>
      <c r="M34" s="39"/>
      <c r="N34" s="39"/>
      <c r="O34" s="39"/>
      <c r="P34" s="39"/>
      <c r="Q34" s="16"/>
      <c r="R34" s="16"/>
    </row>
    <row r="35" spans="4:18" ht="14.25" thickBot="1" x14ac:dyDescent="0.2">
      <c r="D35" s="66"/>
      <c r="E35" s="67" t="s">
        <v>20</v>
      </c>
      <c r="F35" s="202">
        <f>F33-F31</f>
        <v>1002</v>
      </c>
      <c r="G35" s="202"/>
      <c r="H35" s="202"/>
      <c r="I35" s="48">
        <f>I33-I31</f>
        <v>1002</v>
      </c>
      <c r="J35" s="39"/>
      <c r="K35" s="11"/>
      <c r="L35" s="44"/>
      <c r="M35" s="26"/>
      <c r="N35" s="26"/>
      <c r="O35" s="26"/>
      <c r="P35" s="26"/>
    </row>
    <row r="36" spans="4:18" ht="14.25" customHeight="1" x14ac:dyDescent="0.15"/>
    <row r="38" spans="4:18" x14ac:dyDescent="0.15">
      <c r="D38" s="14" t="s">
        <v>14</v>
      </c>
      <c r="E38" s="15"/>
      <c r="F38" s="16"/>
      <c r="G38" s="17"/>
      <c r="H38" s="16"/>
      <c r="I38" s="16"/>
      <c r="J38" s="28"/>
      <c r="K38" s="14" t="s">
        <v>55</v>
      </c>
      <c r="L38" s="15"/>
      <c r="M38" s="16"/>
      <c r="N38" s="17"/>
      <c r="O38" s="16"/>
      <c r="P38" s="16"/>
    </row>
    <row r="39" spans="4:18" x14ac:dyDescent="0.15">
      <c r="D39" s="14"/>
      <c r="E39" s="15"/>
      <c r="F39" s="16"/>
      <c r="G39" s="36">
        <f>SUM(G40:G45)</f>
        <v>40</v>
      </c>
      <c r="H39" s="12"/>
      <c r="I39" s="12"/>
      <c r="J39" s="39"/>
      <c r="K39" s="154"/>
      <c r="L39" s="95"/>
      <c r="M39" s="12"/>
      <c r="N39" s="36">
        <f>SUM(N40:N46)</f>
        <v>40</v>
      </c>
      <c r="O39" s="93"/>
      <c r="P39" s="93"/>
    </row>
    <row r="40" spans="4:18" x14ac:dyDescent="0.15">
      <c r="D40" s="70" t="s">
        <v>1</v>
      </c>
      <c r="E40" s="98">
        <v>710</v>
      </c>
      <c r="F40" s="72"/>
      <c r="G40" s="73">
        <f>MAX(IF($E$4&gt;8,8,$E$4-8),0)</f>
        <v>8</v>
      </c>
      <c r="H40" s="72"/>
      <c r="I40" s="74">
        <f>E40</f>
        <v>710</v>
      </c>
      <c r="J40" s="28"/>
      <c r="K40" s="70" t="s">
        <v>1</v>
      </c>
      <c r="L40" s="98">
        <v>710</v>
      </c>
      <c r="M40" s="72"/>
      <c r="N40" s="73">
        <f>MAX(IF($E$4&gt;8,8,$E$4-8),0)</f>
        <v>8</v>
      </c>
      <c r="O40" s="72"/>
      <c r="P40" s="74">
        <f>L40</f>
        <v>710</v>
      </c>
    </row>
    <row r="41" spans="4:18" x14ac:dyDescent="0.15">
      <c r="D41" s="75" t="s">
        <v>2</v>
      </c>
      <c r="E41" s="76">
        <v>128</v>
      </c>
      <c r="F41" s="77" t="s">
        <v>10</v>
      </c>
      <c r="G41" s="78">
        <f>MAX(IF($E$4-8&gt;7,7,$E$4-8),0)</f>
        <v>7</v>
      </c>
      <c r="H41" s="77" t="s">
        <v>11</v>
      </c>
      <c r="I41" s="79">
        <f>E41*G41</f>
        <v>896</v>
      </c>
      <c r="J41" s="28"/>
      <c r="K41" s="75" t="s">
        <v>16</v>
      </c>
      <c r="L41" s="76">
        <v>201</v>
      </c>
      <c r="M41" s="77" t="s">
        <v>10</v>
      </c>
      <c r="N41" s="78">
        <f>MAX(IF($E$4-8&gt;42,42,$E$4-8),0)</f>
        <v>32</v>
      </c>
      <c r="O41" s="77" t="s">
        <v>11</v>
      </c>
      <c r="P41" s="79">
        <f>L41*N41</f>
        <v>6432</v>
      </c>
    </row>
    <row r="42" spans="4:18" x14ac:dyDescent="0.15">
      <c r="D42" s="75" t="s">
        <v>3</v>
      </c>
      <c r="E42" s="76">
        <v>135</v>
      </c>
      <c r="F42" s="77" t="s">
        <v>10</v>
      </c>
      <c r="G42" s="78">
        <f>MAX(IF($E$4-15&gt;5,5,$E$4-15),0)</f>
        <v>5</v>
      </c>
      <c r="H42" s="77" t="s">
        <v>11</v>
      </c>
      <c r="I42" s="79">
        <f t="shared" ref="I42:I45" si="2">E42*G42</f>
        <v>675</v>
      </c>
      <c r="J42" s="28"/>
      <c r="K42" s="75" t="s">
        <v>6</v>
      </c>
      <c r="L42" s="76">
        <v>221</v>
      </c>
      <c r="M42" s="77" t="s">
        <v>10</v>
      </c>
      <c r="N42" s="78">
        <f>MAX(IF($E$4-50&gt;50,50,$E$4-50),0)</f>
        <v>0</v>
      </c>
      <c r="O42" s="77" t="s">
        <v>11</v>
      </c>
      <c r="P42" s="79">
        <f t="shared" ref="P42:P46" si="3">L42*N42</f>
        <v>0</v>
      </c>
    </row>
    <row r="43" spans="4:18" x14ac:dyDescent="0.15">
      <c r="D43" s="75" t="s">
        <v>4</v>
      </c>
      <c r="E43" s="76">
        <v>172</v>
      </c>
      <c r="F43" s="77" t="s">
        <v>10</v>
      </c>
      <c r="G43" s="78">
        <f>MAX(IF($E$4-20&gt;10,10,$E$4-20),0)</f>
        <v>10</v>
      </c>
      <c r="H43" s="77" t="s">
        <v>11</v>
      </c>
      <c r="I43" s="79">
        <f t="shared" si="2"/>
        <v>1720</v>
      </c>
      <c r="J43" s="28"/>
      <c r="K43" s="75" t="s">
        <v>7</v>
      </c>
      <c r="L43" s="76">
        <v>280</v>
      </c>
      <c r="M43" s="77" t="s">
        <v>10</v>
      </c>
      <c r="N43" s="78">
        <f>MAX(IF($E$4-100&gt;200,200,$E$4-100),0)</f>
        <v>0</v>
      </c>
      <c r="O43" s="77" t="s">
        <v>11</v>
      </c>
      <c r="P43" s="79">
        <f t="shared" si="3"/>
        <v>0</v>
      </c>
    </row>
    <row r="44" spans="4:18" x14ac:dyDescent="0.15">
      <c r="D44" s="75" t="s">
        <v>5</v>
      </c>
      <c r="E44" s="76">
        <v>237</v>
      </c>
      <c r="F44" s="77" t="s">
        <v>10</v>
      </c>
      <c r="G44" s="78">
        <f>MAX(IF($E$4-30&gt;20,20,$E$4-30),0)</f>
        <v>10</v>
      </c>
      <c r="H44" s="77" t="s">
        <v>11</v>
      </c>
      <c r="I44" s="79">
        <f t="shared" si="2"/>
        <v>2370</v>
      </c>
      <c r="J44" s="28"/>
      <c r="K44" s="75" t="s">
        <v>8</v>
      </c>
      <c r="L44" s="76">
        <v>337</v>
      </c>
      <c r="M44" s="77" t="s">
        <v>10</v>
      </c>
      <c r="N44" s="78">
        <f>MAX(IF($E$4-300&gt;700,700,$E$4-300),0)</f>
        <v>0</v>
      </c>
      <c r="O44" s="77" t="s">
        <v>11</v>
      </c>
      <c r="P44" s="79">
        <f t="shared" si="3"/>
        <v>0</v>
      </c>
    </row>
    <row r="45" spans="4:18" ht="14.25" thickBot="1" x14ac:dyDescent="0.2">
      <c r="D45" s="80" t="s">
        <v>15</v>
      </c>
      <c r="E45" s="81">
        <v>294</v>
      </c>
      <c r="F45" s="82" t="s">
        <v>10</v>
      </c>
      <c r="G45" s="83">
        <f>MAX($E$4-50,0)</f>
        <v>0</v>
      </c>
      <c r="H45" s="82" t="s">
        <v>11</v>
      </c>
      <c r="I45" s="84">
        <f t="shared" si="2"/>
        <v>0</v>
      </c>
      <c r="J45" s="28"/>
      <c r="K45" s="75" t="s">
        <v>52</v>
      </c>
      <c r="L45" s="76">
        <v>394</v>
      </c>
      <c r="M45" s="77" t="s">
        <v>10</v>
      </c>
      <c r="N45" s="78">
        <f>MAX(IF($E$4-1000&gt;9000,9000,$E$4-1000),0)</f>
        <v>0</v>
      </c>
      <c r="O45" s="77" t="s">
        <v>11</v>
      </c>
      <c r="P45" s="79">
        <f t="shared" si="3"/>
        <v>0</v>
      </c>
    </row>
    <row r="46" spans="4:18" ht="15" thickTop="1" thickBot="1" x14ac:dyDescent="0.2">
      <c r="D46" s="75"/>
      <c r="E46" s="85"/>
      <c r="F46" s="77"/>
      <c r="G46" s="86" t="s">
        <v>12</v>
      </c>
      <c r="H46" s="77"/>
      <c r="I46" s="79">
        <f>SUM(I40:I45)</f>
        <v>6371</v>
      </c>
      <c r="J46" s="28"/>
      <c r="K46" s="80" t="s">
        <v>17</v>
      </c>
      <c r="L46" s="81">
        <v>436</v>
      </c>
      <c r="M46" s="82" t="s">
        <v>10</v>
      </c>
      <c r="N46" s="83">
        <f>MAX($E$4-10000,0)</f>
        <v>0</v>
      </c>
      <c r="O46" s="82" t="s">
        <v>11</v>
      </c>
      <c r="P46" s="84">
        <f t="shared" si="3"/>
        <v>0</v>
      </c>
    </row>
    <row r="47" spans="4:18" ht="14.25" thickTop="1" x14ac:dyDescent="0.15">
      <c r="D47" s="75"/>
      <c r="E47" s="85"/>
      <c r="F47" s="77"/>
      <c r="G47" s="86" t="s">
        <v>13</v>
      </c>
      <c r="H47" s="77"/>
      <c r="I47" s="79">
        <f>ROUNDDOWN(I46*0.1,0)</f>
        <v>637</v>
      </c>
      <c r="J47" s="28"/>
      <c r="K47" s="75"/>
      <c r="L47" s="85"/>
      <c r="M47" s="77"/>
      <c r="N47" s="86" t="s">
        <v>12</v>
      </c>
      <c r="O47" s="77"/>
      <c r="P47" s="79">
        <f>SUM(P40:P46)</f>
        <v>7142</v>
      </c>
    </row>
    <row r="48" spans="4:18" x14ac:dyDescent="0.15">
      <c r="D48" s="87"/>
      <c r="E48" s="88"/>
      <c r="F48" s="89"/>
      <c r="G48" s="90" t="s">
        <v>0</v>
      </c>
      <c r="H48" s="89"/>
      <c r="I48" s="91">
        <f>I46+I47</f>
        <v>7008</v>
      </c>
      <c r="J48" s="28"/>
      <c r="K48" s="75"/>
      <c r="L48" s="85"/>
      <c r="M48" s="77"/>
      <c r="N48" s="86" t="s">
        <v>13</v>
      </c>
      <c r="O48" s="77"/>
      <c r="P48" s="79">
        <f>ROUNDDOWN(P47*0.1,0)</f>
        <v>714</v>
      </c>
    </row>
    <row r="49" spans="4:16" x14ac:dyDescent="0.15">
      <c r="D49" s="92"/>
      <c r="E49" s="15"/>
      <c r="F49" s="16"/>
      <c r="G49" s="16"/>
      <c r="H49" s="16"/>
      <c r="I49" s="16"/>
      <c r="J49" s="28"/>
      <c r="K49" s="87"/>
      <c r="L49" s="88"/>
      <c r="M49" s="89"/>
      <c r="N49" s="90" t="s">
        <v>0</v>
      </c>
      <c r="O49" s="89"/>
      <c r="P49" s="91">
        <f>P47+P48</f>
        <v>7856</v>
      </c>
    </row>
  </sheetData>
  <sheetProtection algorithmName="SHA-512" hashValue="MZd8hpOOT2hnuYC0rbbMahqU8ad5/ZWwo7KNDwIlnskzVr3zRCle1tgNli+dXDDdHRIDRjTAR8TQZ/iERgQGIw==" saltValue="cIUNYZj2oWB9PyLN33KaEg==" spinCount="100000" sheet="1" objects="1" scenarios="1"/>
  <mergeCells count="17">
    <mergeCell ref="F33:H33"/>
    <mergeCell ref="F34:H34"/>
    <mergeCell ref="F35:H35"/>
    <mergeCell ref="F29:H29"/>
    <mergeCell ref="M26:O26"/>
    <mergeCell ref="M27:O27"/>
    <mergeCell ref="F30:H30"/>
    <mergeCell ref="F31:H31"/>
    <mergeCell ref="F32:H32"/>
    <mergeCell ref="A1:R1"/>
    <mergeCell ref="H7:L7"/>
    <mergeCell ref="M7:O7"/>
    <mergeCell ref="H8:L8"/>
    <mergeCell ref="M8:O8"/>
    <mergeCell ref="E4:F4"/>
    <mergeCell ref="H6:L6"/>
    <mergeCell ref="M6:O6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計算2か月</vt:lpstr>
      <vt:lpstr>計算１か月</vt:lpstr>
      <vt:lpstr>計算１か月!Print_Area</vt:lpstr>
      <vt:lpstr>計算2か月!Print_Area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A16P277</cp:lastModifiedBy>
  <cp:lastPrinted>2022-08-24T05:21:12Z</cp:lastPrinted>
  <dcterms:created xsi:type="dcterms:W3CDTF">2021-06-01T02:47:39Z</dcterms:created>
  <dcterms:modified xsi:type="dcterms:W3CDTF">2022-08-26T02:16:00Z</dcterms:modified>
</cp:coreProperties>
</file>