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Y:\！業務担当\201 使用料改定\R5使用料\ホームページ\"/>
    </mc:Choice>
  </mc:AlternateContent>
  <xr:revisionPtr revIDLastSave="0" documentId="13_ncr:1_{9ACF36D6-EDF9-4785-8144-5E2F63AB1E38}" xr6:coauthVersionLast="36" xr6:coauthVersionMax="36" xr10:uidLastSave="{00000000-0000-0000-0000-000000000000}"/>
  <bookViews>
    <workbookView xWindow="0" yWindow="0" windowWidth="11745" windowHeight="5730" xr2:uid="{00000000-000D-0000-FFFF-FFFF00000000}"/>
  </bookViews>
  <sheets>
    <sheet name="按分2か月・減免なし" sheetId="9" r:id="rId1"/>
    <sheet name="按分１か月・減免なし" sheetId="10" r:id="rId2"/>
  </sheets>
  <definedNames>
    <definedName name="_xlnm.Print_Area" localSheetId="1">按分１か月・減免なし!$A$1:$R$34</definedName>
    <definedName name="_xlnm.Print_Area" localSheetId="0">按分2か月・減免なし!$A$1:$R$34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0" l="1"/>
  <c r="K17" i="10" s="1"/>
  <c r="K13" i="10"/>
  <c r="I17" i="10" s="1"/>
  <c r="N32" i="10"/>
  <c r="N31" i="10"/>
  <c r="N30" i="10"/>
  <c r="N29" i="10"/>
  <c r="N28" i="10"/>
  <c r="N27" i="10"/>
  <c r="N26" i="10"/>
  <c r="N25" i="10"/>
  <c r="N24" i="10"/>
  <c r="G32" i="10"/>
  <c r="G31" i="10"/>
  <c r="G30" i="10"/>
  <c r="G29" i="10"/>
  <c r="G28" i="10"/>
  <c r="G27" i="10"/>
  <c r="G26" i="10"/>
  <c r="G25" i="10"/>
  <c r="G24" i="10"/>
  <c r="E13" i="10"/>
  <c r="I16" i="10" s="1"/>
  <c r="K16" i="10" l="1"/>
  <c r="P32" i="10" l="1"/>
  <c r="P31" i="10"/>
  <c r="P30" i="10"/>
  <c r="P29" i="10"/>
  <c r="P28" i="10"/>
  <c r="P27" i="10"/>
  <c r="P26" i="10"/>
  <c r="P25" i="10"/>
  <c r="I32" i="10"/>
  <c r="I31" i="10"/>
  <c r="I30" i="10"/>
  <c r="I29" i="10"/>
  <c r="I28" i="10"/>
  <c r="I27" i="10"/>
  <c r="I26" i="10"/>
  <c r="I25" i="10"/>
  <c r="P24" i="10"/>
  <c r="I24" i="10"/>
  <c r="N23" i="10" l="1"/>
  <c r="G23" i="10"/>
  <c r="P33" i="10"/>
  <c r="I33" i="10"/>
  <c r="F16" i="10" s="1"/>
  <c r="K13" i="9"/>
  <c r="P13" i="9"/>
  <c r="E13" i="9"/>
  <c r="N32" i="9"/>
  <c r="P32" i="9" s="1"/>
  <c r="G32" i="9"/>
  <c r="I32" i="9" s="1"/>
  <c r="N31" i="9"/>
  <c r="P31" i="9" s="1"/>
  <c r="G31" i="9"/>
  <c r="I31" i="9" s="1"/>
  <c r="N30" i="9"/>
  <c r="P30" i="9" s="1"/>
  <c r="G30" i="9"/>
  <c r="I30" i="9" s="1"/>
  <c r="N29" i="9"/>
  <c r="P29" i="9" s="1"/>
  <c r="G29" i="9"/>
  <c r="I29" i="9" s="1"/>
  <c r="N28" i="9"/>
  <c r="P28" i="9" s="1"/>
  <c r="G28" i="9"/>
  <c r="I28" i="9" s="1"/>
  <c r="N27" i="9"/>
  <c r="P27" i="9" s="1"/>
  <c r="G27" i="9"/>
  <c r="I27" i="9" s="1"/>
  <c r="N26" i="9"/>
  <c r="P26" i="9" s="1"/>
  <c r="G26" i="9"/>
  <c r="I26" i="9" s="1"/>
  <c r="N25" i="9"/>
  <c r="P25" i="9" s="1"/>
  <c r="G25" i="9"/>
  <c r="I25" i="9" s="1"/>
  <c r="P24" i="9"/>
  <c r="N24" i="9"/>
  <c r="I24" i="9"/>
  <c r="G24" i="9"/>
  <c r="M16" i="10" l="1"/>
  <c r="G23" i="9"/>
  <c r="N23" i="9"/>
  <c r="F17" i="10"/>
  <c r="M17" i="10" s="1"/>
  <c r="I16" i="9"/>
  <c r="K17" i="9"/>
  <c r="K16" i="9"/>
  <c r="I17" i="9"/>
  <c r="P33" i="9"/>
  <c r="I33" i="9"/>
  <c r="M18" i="10" l="1"/>
  <c r="M19" i="10" s="1"/>
  <c r="F16" i="9"/>
  <c r="M16" i="9" s="1"/>
  <c r="F17" i="9"/>
  <c r="M17" i="9" s="1"/>
  <c r="M20" i="10" l="1"/>
  <c r="M18" i="9"/>
  <c r="M10" i="10" l="1"/>
  <c r="M20" i="9"/>
  <c r="M10" i="9" s="1"/>
  <c r="M19" i="9"/>
</calcChain>
</file>

<file path=xl/sharedStrings.xml><?xml version="1.0" encoding="utf-8"?>
<sst xmlns="http://schemas.openxmlformats.org/spreadsheetml/2006/main" count="162" uniqueCount="49">
  <si>
    <t>0～8㎥</t>
    <phoneticPr fontId="1"/>
  </si>
  <si>
    <t>9～15㎥</t>
    <phoneticPr fontId="1"/>
  </si>
  <si>
    <t>16～20㎥</t>
    <phoneticPr fontId="1"/>
  </si>
  <si>
    <t>21～30㎥</t>
    <phoneticPr fontId="1"/>
  </si>
  <si>
    <t>31～50㎥</t>
    <phoneticPr fontId="1"/>
  </si>
  <si>
    <t>51～100㎥</t>
    <phoneticPr fontId="1"/>
  </si>
  <si>
    <t>101～300㎥</t>
    <phoneticPr fontId="1"/>
  </si>
  <si>
    <t>301～1,000㎥</t>
    <phoneticPr fontId="1"/>
  </si>
  <si>
    <t>1,001㎥～</t>
    <phoneticPr fontId="1"/>
  </si>
  <si>
    <t>×</t>
    <phoneticPr fontId="1"/>
  </si>
  <si>
    <t>＝</t>
    <phoneticPr fontId="1"/>
  </si>
  <si>
    <t>小計</t>
    <rPh sb="0" eb="2">
      <t>ショウケイ</t>
    </rPh>
    <phoneticPr fontId="1"/>
  </si>
  <si>
    <t>0～16㎥</t>
    <phoneticPr fontId="1"/>
  </si>
  <si>
    <t>17～30㎥</t>
    <phoneticPr fontId="1"/>
  </si>
  <si>
    <t>31～40㎥</t>
    <phoneticPr fontId="1"/>
  </si>
  <si>
    <t>41～60㎥</t>
    <phoneticPr fontId="1"/>
  </si>
  <si>
    <t>61～100㎥</t>
    <phoneticPr fontId="1"/>
  </si>
  <si>
    <t>101～200㎥</t>
    <phoneticPr fontId="1"/>
  </si>
  <si>
    <t>201～600㎥</t>
    <phoneticPr fontId="1"/>
  </si>
  <si>
    <t>601～2,000㎥</t>
    <phoneticPr fontId="1"/>
  </si>
  <si>
    <t>2,001㎥～</t>
    <phoneticPr fontId="1"/>
  </si>
  <si>
    <t>請求額（税込み）</t>
    <rPh sb="0" eb="3">
      <t>セイキュウガク</t>
    </rPh>
    <rPh sb="4" eb="6">
      <t>ゼイコ</t>
    </rPh>
    <phoneticPr fontId="1"/>
  </si>
  <si>
    <t>×</t>
    <phoneticPr fontId="1"/>
  </si>
  <si>
    <t>÷</t>
    <phoneticPr fontId="1"/>
  </si>
  <si>
    <t>＝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</si>
  <si>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</si>
  <si>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請求額（税込み）</t>
    <rPh sb="0" eb="3">
      <t>セイキュウガク</t>
    </rPh>
    <rPh sb="4" eb="6">
      <t>ゼイコ</t>
    </rPh>
    <phoneticPr fontId="1"/>
  </si>
  <si>
    <t>旧単価使用料額：</t>
    <rPh sb="0" eb="3">
      <t>キュウタンカ</t>
    </rPh>
    <rPh sb="3" eb="7">
      <t>シヨウリョウガク</t>
    </rPh>
    <phoneticPr fontId="1"/>
  </si>
  <si>
    <t>新単価使用料額：</t>
    <rPh sb="0" eb="3">
      <t>シンタンカ</t>
    </rPh>
    <rPh sb="3" eb="7">
      <t>シヨウリョウガク</t>
    </rPh>
    <phoneticPr fontId="1"/>
  </si>
  <si>
    <t>下水道使用料新旧単価按分計算シート（隔月点検、減免なし）</t>
    <rPh sb="0" eb="3">
      <t>ゲスイドウ</t>
    </rPh>
    <rPh sb="3" eb="6">
      <t>シヨウリョウ</t>
    </rPh>
    <rPh sb="6" eb="8">
      <t>シンキュウ</t>
    </rPh>
    <rPh sb="8" eb="10">
      <t>タンカ</t>
    </rPh>
    <rPh sb="10" eb="12">
      <t>アンブン</t>
    </rPh>
    <rPh sb="12" eb="14">
      <t>ケイサン</t>
    </rPh>
    <rPh sb="18" eb="22">
      <t>カクゲツテンケン</t>
    </rPh>
    <rPh sb="23" eb="25">
      <t>ゲンメン</t>
    </rPh>
    <phoneticPr fontId="1"/>
  </si>
  <si>
    <t>下水道使用料新旧単価按分計算シート（毎月点検、減免なし）</t>
    <rPh sb="0" eb="3">
      <t>ゲスイドウ</t>
    </rPh>
    <rPh sb="3" eb="6">
      <t>シヨウリョウ</t>
    </rPh>
    <rPh sb="6" eb="8">
      <t>シンキュウ</t>
    </rPh>
    <rPh sb="8" eb="10">
      <t>タンカ</t>
    </rPh>
    <rPh sb="10" eb="12">
      <t>アンブン</t>
    </rPh>
    <rPh sb="12" eb="14">
      <t>ケイサン</t>
    </rPh>
    <rPh sb="18" eb="20">
      <t>マイツキ</t>
    </rPh>
    <rPh sb="20" eb="22">
      <t>テンケン</t>
    </rPh>
    <rPh sb="23" eb="25">
      <t>ゲンメン</t>
    </rPh>
    <phoneticPr fontId="1"/>
  </si>
  <si>
    <t>①前回点検日</t>
    <rPh sb="1" eb="6">
      <t>ゼンカイテンケンビ</t>
    </rPh>
    <phoneticPr fontId="1"/>
  </si>
  <si>
    <t>②今回点検日</t>
    <rPh sb="1" eb="3">
      <t>コンカイ</t>
    </rPh>
    <rPh sb="3" eb="5">
      <t>テンケン</t>
    </rPh>
    <rPh sb="5" eb="6">
      <t>ビ</t>
    </rPh>
    <phoneticPr fontId="1"/>
  </si>
  <si>
    <t>③排水量</t>
    <rPh sb="1" eb="3">
      <t>ハイスイ</t>
    </rPh>
    <rPh sb="3" eb="4">
      <t>リョウ</t>
    </rPh>
    <phoneticPr fontId="1"/>
  </si>
  <si>
    <t>〇　旧単価の場合の使用料と新単価の場合の使用料を計算し、使用日数に応じて按分します</t>
    <rPh sb="2" eb="5">
      <t>キュウタンカ</t>
    </rPh>
    <rPh sb="6" eb="8">
      <t>バアイ</t>
    </rPh>
    <rPh sb="9" eb="12">
      <t>シヨウリョウ</t>
    </rPh>
    <rPh sb="13" eb="16">
      <t>シンタンカ</t>
    </rPh>
    <rPh sb="17" eb="19">
      <t>バアイ</t>
    </rPh>
    <rPh sb="20" eb="23">
      <t>シヨウリョウ</t>
    </rPh>
    <rPh sb="24" eb="26">
      <t>ケイサン</t>
    </rPh>
    <rPh sb="28" eb="32">
      <t>シヨウニッスウ</t>
    </rPh>
    <rPh sb="33" eb="34">
      <t>オウ</t>
    </rPh>
    <rPh sb="36" eb="38">
      <t>アンブン</t>
    </rPh>
    <phoneticPr fontId="1"/>
  </si>
  <si>
    <t>請求額（税抜き）：</t>
    <phoneticPr fontId="1"/>
  </si>
  <si>
    <t>請求額（税込み）：</t>
    <rPh sb="4" eb="6">
      <t>ゼイコ</t>
    </rPh>
    <phoneticPr fontId="1"/>
  </si>
  <si>
    <t>消費税等：</t>
    <rPh sb="0" eb="4">
      <t>ショウヒゼイトウ</t>
    </rPh>
    <phoneticPr fontId="1"/>
  </si>
  <si>
    <t>新単価（隔月点検　R5.4.1～）</t>
    <rPh sb="0" eb="3">
      <t>シンタンカ</t>
    </rPh>
    <phoneticPr fontId="1"/>
  </si>
  <si>
    <t>新単価（毎月点検　R5.4.1～）</t>
    <rPh sb="0" eb="3">
      <t>シンタンカ</t>
    </rPh>
    <rPh sb="4" eb="5">
      <t>マイ</t>
    </rPh>
    <phoneticPr fontId="1"/>
  </si>
  <si>
    <t>旧単価（隔月点検　～R5.3.31）</t>
    <rPh sb="0" eb="3">
      <t>キュウタンカ</t>
    </rPh>
    <phoneticPr fontId="1"/>
  </si>
  <si>
    <t>旧単価（毎月点検　～R5.3.31）</t>
    <rPh sb="0" eb="3">
      <t>キュウタンカ</t>
    </rPh>
    <rPh sb="4" eb="5">
      <t>マイ</t>
    </rPh>
    <phoneticPr fontId="1"/>
  </si>
  <si>
    <t>旧単価使用日数</t>
    <phoneticPr fontId="1"/>
  </si>
  <si>
    <t>新単価使用日数</t>
    <phoneticPr fontId="1"/>
  </si>
  <si>
    <t>使用日数</t>
    <rPh sb="0" eb="4">
      <t>シヨウニッスウ</t>
    </rPh>
    <phoneticPr fontId="1"/>
  </si>
  <si>
    <t>←前回点検日を入力してください。</t>
    <rPh sb="1" eb="6">
      <t>ゼンカイテンケンビ</t>
    </rPh>
    <phoneticPr fontId="1"/>
  </si>
  <si>
    <t>←今回点検日を入力してください。</t>
    <rPh sb="1" eb="6">
      <t>コンカイテンケンビ</t>
    </rPh>
    <phoneticPr fontId="1"/>
  </si>
  <si>
    <t>←排水量を入力してください。</t>
    <phoneticPr fontId="1"/>
  </si>
  <si>
    <t>「上下水道使用量のお知らせ」を参照の上、①～③を入力してください。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</si>
</sst>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8" formatCode="#&quot;円/㎥&quot;"/>
    <numFmt numFmtId="179" formatCode="#,###&quot;円&quot;"/>
    <numFmt numFmtId="180" formatCode="#,###&quot;㎥&quot;"/>
    <numFmt numFmtId="181" formatCode="#,###&quot;日&quot;"/>
  </numFmts>
  <fonts count="21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2"/>
      <charset val="128"/>
    </font>
    <font>
      <sz val="12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16"/>
      <color rgb="FFFF0000"/>
      <name val="BIZ UD明朝 Medium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5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theme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2">
    <xf numFmtId="0" fontId="0" fillId="0" borderId="0" xfId="0">
      <alignment vertical="center"/>
    </xf>
    <xf numFmtId="14" fontId="4" fillId="2" borderId="3" xfId="0" applyNumberFormat="1" applyFont="1" applyFill="1" applyBorder="1" applyAlignment="1">
      <alignment horizontal="right" vertical="center" shrinkToFi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14" fontId="10" fillId="2" borderId="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181" fontId="11" fillId="4" borderId="3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180" fontId="9" fillId="0" borderId="0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vertical="center" shrinkToFit="1"/>
    </xf>
    <xf numFmtId="181" fontId="11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shrinkToFit="1"/>
    </xf>
    <xf numFmtId="0" fontId="14" fillId="0" borderId="0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176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 shrinkToFit="1"/>
    </xf>
    <xf numFmtId="18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180" fontId="14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4" xfId="0" applyFont="1" applyFill="1" applyBorder="1" applyAlignment="1">
      <alignment horizontal="right" vertical="center" shrinkToFit="1"/>
    </xf>
    <xf numFmtId="176" fontId="7" fillId="0" borderId="15" xfId="0" applyNumberFormat="1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179" fontId="11" fillId="0" borderId="12" xfId="0" applyNumberFormat="1" applyFont="1" applyFill="1" applyBorder="1" applyAlignment="1">
      <alignment horizontal="right" vertical="center" shrinkToFit="1"/>
    </xf>
    <xf numFmtId="18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shrinkToFit="1"/>
    </xf>
    <xf numFmtId="14" fontId="10" fillId="0" borderId="0" xfId="0" applyNumberFormat="1" applyFont="1" applyFill="1" applyBorder="1" applyAlignment="1">
      <alignment horizontal="right" vertical="center" shrinkToFit="1"/>
    </xf>
    <xf numFmtId="0" fontId="0" fillId="0" borderId="6" xfId="0" applyBorder="1">
      <alignment vertical="center"/>
    </xf>
    <xf numFmtId="0" fontId="8" fillId="0" borderId="7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176" fontId="7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right" vertical="center" shrinkToFit="1"/>
    </xf>
    <xf numFmtId="0" fontId="0" fillId="0" borderId="11" xfId="0" applyBorder="1">
      <alignment vertical="center"/>
    </xf>
    <xf numFmtId="0" fontId="9" fillId="0" borderId="12" xfId="0" applyFont="1" applyFill="1" applyBorder="1" applyAlignment="1">
      <alignment horizontal="right" vertical="center" shrinkToFit="1"/>
    </xf>
    <xf numFmtId="180" fontId="9" fillId="0" borderId="12" xfId="0" applyNumberFormat="1" applyFont="1" applyFill="1" applyBorder="1" applyAlignment="1">
      <alignment horizontal="right" vertical="center" shrinkToFit="1"/>
    </xf>
    <xf numFmtId="0" fontId="9" fillId="0" borderId="12" xfId="0" applyFont="1" applyFill="1" applyBorder="1" applyAlignment="1">
      <alignment vertical="center" shrinkToFit="1"/>
    </xf>
    <xf numFmtId="181" fontId="11" fillId="0" borderId="12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right" vertical="center" shrinkToFit="1"/>
    </xf>
    <xf numFmtId="0" fontId="11" fillId="0" borderId="12" xfId="0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left" vertical="center"/>
    </xf>
    <xf numFmtId="176" fontId="9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6" fontId="8" fillId="0" borderId="0" xfId="0" applyNumberFormat="1" applyFont="1" applyBorder="1" applyAlignment="1">
      <alignment horizontal="center" vertical="center"/>
    </xf>
    <xf numFmtId="179" fontId="6" fillId="0" borderId="27" xfId="0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right" vertical="center" shrinkToFit="1"/>
    </xf>
    <xf numFmtId="0" fontId="14" fillId="0" borderId="27" xfId="0" applyFont="1" applyFill="1" applyBorder="1" applyAlignment="1">
      <alignment vertical="center" shrinkToFit="1"/>
    </xf>
    <xf numFmtId="180" fontId="13" fillId="0" borderId="27" xfId="0" applyNumberFormat="1" applyFont="1" applyFill="1" applyBorder="1" applyAlignment="1">
      <alignment vertical="center" shrinkToFit="1"/>
    </xf>
    <xf numFmtId="179" fontId="14" fillId="0" borderId="28" xfId="0" applyNumberFormat="1" applyFont="1" applyFill="1" applyBorder="1" applyAlignment="1">
      <alignment vertical="center" shrinkToFit="1"/>
    </xf>
    <xf numFmtId="0" fontId="13" fillId="0" borderId="29" xfId="0" applyFont="1" applyFill="1" applyBorder="1" applyAlignment="1">
      <alignment horizontal="right" vertical="center" shrinkToFit="1"/>
    </xf>
    <xf numFmtId="178" fontId="14" fillId="0" borderId="30" xfId="0" applyNumberFormat="1" applyFont="1" applyFill="1" applyBorder="1" applyAlignment="1">
      <alignment vertical="center" shrinkToFit="1"/>
    </xf>
    <xf numFmtId="0" fontId="14" fillId="0" borderId="30" xfId="0" applyFont="1" applyFill="1" applyBorder="1" applyAlignment="1">
      <alignment vertical="center" shrinkToFit="1"/>
    </xf>
    <xf numFmtId="180" fontId="13" fillId="0" borderId="30" xfId="0" applyNumberFormat="1" applyFont="1" applyFill="1" applyBorder="1" applyAlignment="1">
      <alignment vertical="center" shrinkToFit="1"/>
    </xf>
    <xf numFmtId="179" fontId="14" fillId="0" borderId="31" xfId="0" applyNumberFormat="1" applyFont="1" applyFill="1" applyBorder="1" applyAlignment="1">
      <alignment vertical="center" shrinkToFit="1"/>
    </xf>
    <xf numFmtId="0" fontId="13" fillId="0" borderId="32" xfId="0" applyFont="1" applyFill="1" applyBorder="1" applyAlignment="1">
      <alignment horizontal="right" vertical="center" shrinkToFit="1"/>
    </xf>
    <xf numFmtId="178" fontId="14" fillId="0" borderId="33" xfId="0" applyNumberFormat="1" applyFont="1" applyFill="1" applyBorder="1" applyAlignment="1">
      <alignment vertical="center" shrinkToFit="1"/>
    </xf>
    <xf numFmtId="0" fontId="14" fillId="0" borderId="33" xfId="0" applyFont="1" applyFill="1" applyBorder="1" applyAlignment="1">
      <alignment vertical="center" shrinkToFit="1"/>
    </xf>
    <xf numFmtId="180" fontId="13" fillId="0" borderId="33" xfId="0" applyNumberFormat="1" applyFont="1" applyFill="1" applyBorder="1" applyAlignment="1">
      <alignment vertical="center" shrinkToFit="1"/>
    </xf>
    <xf numFmtId="179" fontId="14" fillId="0" borderId="34" xfId="0" applyNumberFormat="1" applyFont="1" applyFill="1" applyBorder="1" applyAlignment="1">
      <alignment vertical="center" shrinkToFit="1"/>
    </xf>
    <xf numFmtId="0" fontId="13" fillId="0" borderId="27" xfId="0" applyFont="1" applyFill="1" applyBorder="1" applyAlignment="1">
      <alignment vertical="center" shrinkToFit="1"/>
    </xf>
    <xf numFmtId="179" fontId="13" fillId="0" borderId="28" xfId="0" applyNumberFormat="1" applyFont="1" applyFill="1" applyBorder="1" applyAlignment="1">
      <alignment vertical="center" shrinkToFit="1"/>
    </xf>
    <xf numFmtId="178" fontId="13" fillId="0" borderId="30" xfId="0" applyNumberFormat="1" applyFont="1" applyFill="1" applyBorder="1" applyAlignment="1">
      <alignment vertical="center" shrinkToFit="1"/>
    </xf>
    <xf numFmtId="0" fontId="13" fillId="0" borderId="30" xfId="0" applyFont="1" applyFill="1" applyBorder="1" applyAlignment="1">
      <alignment vertical="center" shrinkToFit="1"/>
    </xf>
    <xf numFmtId="179" fontId="13" fillId="0" borderId="31" xfId="0" applyNumberFormat="1" applyFont="1" applyFill="1" applyBorder="1" applyAlignment="1">
      <alignment vertical="center" shrinkToFit="1"/>
    </xf>
    <xf numFmtId="178" fontId="13" fillId="0" borderId="33" xfId="0" applyNumberFormat="1" applyFont="1" applyFill="1" applyBorder="1" applyAlignment="1">
      <alignment vertical="center" shrinkToFit="1"/>
    </xf>
    <xf numFmtId="0" fontId="13" fillId="0" borderId="33" xfId="0" applyFont="1" applyFill="1" applyBorder="1" applyAlignment="1">
      <alignment vertical="center" shrinkToFit="1"/>
    </xf>
    <xf numFmtId="179" fontId="13" fillId="0" borderId="34" xfId="0" applyNumberFormat="1" applyFont="1" applyFill="1" applyBorder="1" applyAlignment="1">
      <alignment vertical="center" shrinkToFi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181" fontId="18" fillId="4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81" fontId="18" fillId="4" borderId="5" xfId="0" applyNumberFormat="1" applyFont="1" applyFill="1" applyBorder="1" applyAlignment="1">
      <alignment horizontal="right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176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8" fillId="0" borderId="0" xfId="0" applyFont="1" applyFill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181" fontId="17" fillId="5" borderId="0" xfId="0" applyNumberFormat="1" applyFont="1" applyFill="1" applyBorder="1" applyAlignment="1">
      <alignment vertical="center" shrinkToFit="1"/>
    </xf>
    <xf numFmtId="181" fontId="11" fillId="5" borderId="3" xfId="0" applyNumberFormat="1" applyFont="1" applyFill="1" applyBorder="1" applyAlignment="1">
      <alignment horizontal="right" vertical="center" shrinkToFit="1"/>
    </xf>
    <xf numFmtId="179" fontId="9" fillId="5" borderId="2" xfId="0" applyNumberFormat="1" applyFont="1" applyFill="1" applyBorder="1" applyAlignment="1">
      <alignment vertical="center" shrinkToFit="1"/>
    </xf>
    <xf numFmtId="181" fontId="17" fillId="6" borderId="5" xfId="0" applyNumberFormat="1" applyFont="1" applyFill="1" applyBorder="1" applyAlignment="1">
      <alignment vertical="center" shrinkToFit="1"/>
    </xf>
    <xf numFmtId="181" fontId="11" fillId="6" borderId="25" xfId="0" applyNumberFormat="1" applyFont="1" applyFill="1" applyBorder="1" applyAlignment="1">
      <alignment horizontal="right" vertical="center" shrinkToFit="1"/>
    </xf>
    <xf numFmtId="179" fontId="11" fillId="6" borderId="16" xfId="0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13" fillId="0" borderId="4" xfId="0" applyFont="1" applyFill="1" applyBorder="1" applyAlignment="1">
      <alignment horizontal="right" vertical="center" shrinkToFit="1"/>
    </xf>
    <xf numFmtId="0" fontId="14" fillId="0" borderId="15" xfId="0" applyFont="1" applyFill="1" applyBorder="1" applyAlignment="1">
      <alignment horizontal="right" vertical="center" shrinkToFit="1"/>
    </xf>
    <xf numFmtId="179" fontId="13" fillId="0" borderId="27" xfId="0" applyNumberFormat="1" applyFont="1" applyFill="1" applyBorder="1" applyAlignment="1">
      <alignment vertical="center" shrinkToFit="1"/>
    </xf>
    <xf numFmtId="0" fontId="14" fillId="0" borderId="26" xfId="0" applyFont="1" applyFill="1" applyBorder="1" applyAlignment="1">
      <alignment horizontal="right" vertical="center" shrinkToFit="1"/>
    </xf>
    <xf numFmtId="0" fontId="14" fillId="0" borderId="29" xfId="0" applyFont="1" applyFill="1" applyBorder="1" applyAlignment="1">
      <alignment horizontal="right" vertical="center" shrinkToFit="1"/>
    </xf>
    <xf numFmtId="0" fontId="14" fillId="0" borderId="32" xfId="0" applyFont="1" applyFill="1" applyBorder="1" applyAlignment="1">
      <alignment horizontal="right" vertical="center" shrinkToFit="1"/>
    </xf>
    <xf numFmtId="0" fontId="13" fillId="0" borderId="4" xfId="0" applyFont="1" applyBorder="1" applyAlignment="1">
      <alignment horizontal="right" vertical="center" shrinkToFit="1"/>
    </xf>
    <xf numFmtId="179" fontId="11" fillId="0" borderId="12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20" fillId="0" borderId="0" xfId="0" applyFont="1" applyBorder="1">
      <alignment vertical="center"/>
    </xf>
    <xf numFmtId="0" fontId="8" fillId="0" borderId="0" xfId="0" applyFont="1" applyBorder="1">
      <alignment vertical="center"/>
    </xf>
    <xf numFmtId="179" fontId="11" fillId="3" borderId="17" xfId="0" applyNumberFormat="1" applyFont="1" applyFill="1" applyBorder="1" applyAlignment="1">
      <alignment horizontal="right" vertical="center" shrinkToFit="1"/>
    </xf>
    <xf numFmtId="0" fontId="5" fillId="7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right" vertical="center" shrinkToFit="1"/>
    </xf>
    <xf numFmtId="0" fontId="17" fillId="0" borderId="39" xfId="0" applyFont="1" applyBorder="1" applyAlignment="1">
      <alignment horizontal="right" vertical="center" shrinkToFit="1"/>
    </xf>
    <xf numFmtId="0" fontId="16" fillId="0" borderId="0" xfId="0" applyFont="1" applyAlignment="1">
      <alignment horizontal="left" vertical="center" shrinkToFit="1"/>
    </xf>
    <xf numFmtId="0" fontId="9" fillId="0" borderId="21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  <xf numFmtId="0" fontId="9" fillId="0" borderId="24" xfId="0" applyFont="1" applyBorder="1" applyAlignment="1">
      <alignment horizontal="right" vertical="center" shrinkToFit="1"/>
    </xf>
    <xf numFmtId="0" fontId="11" fillId="3" borderId="18" xfId="0" applyFont="1" applyFill="1" applyBorder="1" applyAlignment="1">
      <alignment horizontal="right" vertical="center" shrinkToFit="1"/>
    </xf>
    <xf numFmtId="0" fontId="11" fillId="3" borderId="19" xfId="0" applyFont="1" applyFill="1" applyBorder="1" applyAlignment="1">
      <alignment horizontal="right" vertical="center" shrinkToFit="1"/>
    </xf>
    <xf numFmtId="0" fontId="9" fillId="0" borderId="22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10" xfId="0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horizontal="right" vertical="center" shrinkToFit="1"/>
    </xf>
    <xf numFmtId="179" fontId="17" fillId="0" borderId="0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left" vertical="center" shrinkToFit="1"/>
    </xf>
    <xf numFmtId="176" fontId="18" fillId="0" borderId="20" xfId="0" applyNumberFormat="1" applyFont="1" applyBorder="1" applyAlignment="1">
      <alignment horizontal="right" vertical="center" shrinkToFit="1"/>
    </xf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10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18" fillId="0" borderId="0" xfId="0" applyNumberFormat="1" applyFont="1" applyFill="1" applyAlignment="1">
      <alignment horizontal="righ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9" fontId="17" fillId="5" borderId="0" xfId="0" applyNumberFormat="1" applyFont="1" applyFill="1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center" vertical="center" shrinkToFit="1"/>
    </xf>
    <xf numFmtId="179" fontId="17" fillId="6" borderId="5" xfId="0" applyNumberFormat="1" applyFont="1" applyFill="1" applyBorder="1" applyAlignment="1">
      <alignment horizontal="center" vertical="center" shrinkToFit="1"/>
    </xf>
    <xf numFmtId="0" fontId="17" fillId="6" borderId="5" xfId="0" applyFont="1" applyFill="1" applyBorder="1" applyAlignment="1">
      <alignment horizontal="center" vertical="center" shrinkToFit="1"/>
    </xf>
    <xf numFmtId="179" fontId="17" fillId="0" borderId="5" xfId="0" applyNumberFormat="1" applyFont="1" applyBorder="1" applyAlignment="1">
      <alignment horizontal="right" vertical="center" shrinkToFit="1"/>
    </xf>
    <xf numFmtId="0" fontId="17" fillId="0" borderId="5" xfId="0" applyFont="1" applyBorder="1" applyAlignment="1">
      <alignment horizontal="right" vertical="center" shrinkToFit="1"/>
    </xf>
    <xf numFmtId="179" fontId="17" fillId="0" borderId="0" xfId="0" applyNumberFormat="1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right" vertical="center" shrinkToFit="1"/>
    </xf>
    <xf numFmtId="179" fontId="11" fillId="8" borderId="17" xfId="0" applyNumberFormat="1" applyFont="1" applyFill="1" applyBorder="1" applyAlignment="1">
      <alignment horizontal="right" vertical="center" shrinkToFit="1"/>
    </xf>
    <xf numFmtId="0" fontId="11" fillId="8" borderId="18" xfId="0" applyFont="1" applyFill="1" applyBorder="1" applyAlignment="1">
      <alignment horizontal="right" vertical="center" shrinkToFit="1"/>
    </xf>
    <xf numFmtId="0" fontId="11" fillId="8" borderId="19" xfId="0" applyFont="1" applyFill="1" applyBorder="1" applyAlignment="1">
      <alignment horizontal="right" vertical="center" shrinkToFit="1"/>
    </xf>
    <xf numFmtId="14" fontId="10" fillId="2" borderId="35" xfId="0" applyNumberFormat="1" applyFont="1" applyFill="1" applyBorder="1" applyAlignment="1" applyProtection="1">
      <alignment horizontal="right" vertical="center" shrinkToFit="1"/>
      <protection locked="0"/>
    </xf>
    <xf numFmtId="14" fontId="10" fillId="2" borderId="36" xfId="0" applyNumberFormat="1" applyFont="1" applyFill="1" applyBorder="1" applyAlignment="1" applyProtection="1">
      <alignment horizontal="right" vertical="center" shrinkToFit="1"/>
      <protection locked="0"/>
    </xf>
    <xf numFmtId="14" fontId="10" fillId="2" borderId="37" xfId="0" applyNumberFormat="1" applyFont="1" applyFill="1" applyBorder="1" applyAlignment="1" applyProtection="1">
      <alignment horizontal="right" vertical="center" shrinkToFit="1"/>
      <protection locked="0"/>
    </xf>
    <xf numFmtId="14" fontId="10" fillId="2" borderId="38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22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23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D5FF"/>
      <color rgb="FF0000FF"/>
      <color rgb="FFFFCCFF"/>
      <color rgb="FFFFAFFF"/>
      <color rgb="FFFFE5FF"/>
      <color rgb="FFFFCCCC"/>
      <color rgb="FFCC99FF"/>
      <color rgb="FF99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32</xdr:col>
      <xdr:colOff>691490</xdr:colOff>
      <xdr:row>34</xdr:row>
      <xdr:rowOff>40820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18CF7E4-2EF6-4A2C-939B-85CCCB1C8666}"/>
            </a:ext>
          </a:extLst>
        </xdr:cNvPr>
        <xdr:cNvSpPr/>
      </xdr:nvSpPr>
      <xdr:spPr>
        <a:xfrm>
          <a:off x="8728364" y="0"/>
          <a:ext cx="9696944" cy="819768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32</xdr:col>
      <xdr:colOff>323850</xdr:colOff>
      <xdr:row>32</xdr:row>
      <xdr:rowOff>117764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C76560D-0C33-4E10-B326-D249DCF3F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364" y="0"/>
          <a:ext cx="9329304" cy="7755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2845</xdr:colOff>
      <xdr:row>0</xdr:row>
      <xdr:rowOff>0</xdr:rowOff>
    </xdr:from>
    <xdr:to>
      <xdr:col>32</xdr:col>
      <xdr:colOff>681965</xdr:colOff>
      <xdr:row>33</xdr:row>
      <xdr:rowOff>88691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D89553-418C-4FFD-80F5-D78075E64C03}"/>
            </a:ext>
          </a:extLst>
        </xdr:cNvPr>
        <xdr:cNvSpPr/>
      </xdr:nvSpPr>
      <xdr:spPr>
        <a:xfrm>
          <a:off x="8731209" y="0"/>
          <a:ext cx="9684574" cy="795114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32</xdr:col>
      <xdr:colOff>323850</xdr:colOff>
      <xdr:row>32</xdr:row>
      <xdr:rowOff>110122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530551D-B206-4FC3-86B2-F392646E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364" y="0"/>
          <a:ext cx="9329304" cy="7711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6C9B-B2A2-4FDA-9648-A0770CD45536}">
  <sheetPr>
    <tabColor theme="4" tint="0.59999389629810485"/>
  </sheetPr>
  <dimension ref="A1:AF36"/>
  <sheetViews>
    <sheetView tabSelected="1" view="pageBreakPreview" zoomScale="55" zoomScaleNormal="85" zoomScaleSheetLayoutView="55" workbookViewId="0">
      <selection activeCell="AI15" sqref="AI15"/>
    </sheetView>
  </sheetViews>
  <sheetFormatPr defaultRowHeight="13.5" x14ac:dyDescent="0.15"/>
  <cols>
    <col min="1" max="2" width="1.25" customWidth="1"/>
    <col min="3" max="3" width="3.75" style="5" customWidth="1"/>
    <col min="4" max="4" width="13.875" style="6" bestFit="1" customWidth="1"/>
    <col min="5" max="5" width="11.25" style="4" customWidth="1"/>
    <col min="6" max="6" width="2.5" style="5" customWidth="1"/>
    <col min="7" max="7" width="6.25" style="5" customWidth="1"/>
    <col min="8" max="8" width="2.5" style="5" customWidth="1"/>
    <col min="9" max="9" width="13.75" style="5" customWidth="1"/>
    <col min="10" max="10" width="3.125" style="7" customWidth="1"/>
    <col min="11" max="11" width="13.875" style="8" customWidth="1"/>
    <col min="12" max="12" width="11.25" style="9" customWidth="1"/>
    <col min="13" max="13" width="2.5" style="7" customWidth="1"/>
    <col min="14" max="14" width="6.25" style="7" customWidth="1"/>
    <col min="15" max="15" width="2.5" style="7" customWidth="1"/>
    <col min="16" max="16" width="13.75" style="7" customWidth="1"/>
    <col min="17" max="18" width="1.25" style="5" customWidth="1"/>
    <col min="19" max="19" width="1.125" customWidth="1"/>
    <col min="20" max="22" width="9" customWidth="1"/>
  </cols>
  <sheetData>
    <row r="1" spans="1:32" ht="30" customHeight="1" x14ac:dyDescent="0.15">
      <c r="A1" s="178" t="s">
        <v>29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3"/>
      <c r="T1" s="3"/>
      <c r="U1" s="3"/>
      <c r="V1" s="2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thickBot="1" x14ac:dyDescent="0.2"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" customHeight="1" x14ac:dyDescent="0.15">
      <c r="B3" s="65"/>
      <c r="C3" s="66"/>
      <c r="D3" s="67"/>
      <c r="E3" s="68"/>
      <c r="F3" s="69"/>
      <c r="G3" s="69"/>
      <c r="H3" s="69"/>
      <c r="I3" s="69"/>
      <c r="J3" s="70"/>
      <c r="K3" s="71"/>
      <c r="L3" s="72"/>
      <c r="M3" s="70"/>
      <c r="N3" s="70"/>
      <c r="O3" s="70"/>
      <c r="P3" s="70"/>
      <c r="Q3" s="73"/>
      <c r="R3" s="57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2.5" customHeight="1" x14ac:dyDescent="0.15">
      <c r="B4" s="74"/>
      <c r="C4" s="157" t="s">
        <v>48</v>
      </c>
      <c r="D4" s="55"/>
      <c r="E4" s="56"/>
      <c r="F4" s="57"/>
      <c r="G4" s="57"/>
      <c r="H4" s="57"/>
      <c r="I4" s="57"/>
      <c r="J4" s="58"/>
      <c r="K4" s="59"/>
      <c r="L4" s="60"/>
      <c r="M4" s="58"/>
      <c r="N4" s="58"/>
      <c r="O4" s="58"/>
      <c r="P4" s="58"/>
      <c r="Q4" s="75"/>
      <c r="R4" s="5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5" customHeight="1" thickBot="1" x14ac:dyDescent="0.2">
      <c r="B5" s="74"/>
      <c r="C5" s="57"/>
      <c r="D5" s="55"/>
      <c r="E5" s="93"/>
      <c r="F5" s="57"/>
      <c r="G5" s="57"/>
      <c r="H5" s="57"/>
      <c r="I5" s="57"/>
      <c r="J5" s="59"/>
      <c r="K5" s="59"/>
      <c r="L5" s="59"/>
      <c r="M5" s="58"/>
      <c r="N5" s="58"/>
      <c r="O5" s="58"/>
      <c r="P5" s="58"/>
      <c r="Q5" s="75"/>
      <c r="R5" s="5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6.25" customHeight="1" thickTop="1" thickBot="1" x14ac:dyDescent="0.2">
      <c r="B6" s="74"/>
      <c r="C6" s="163" t="s">
        <v>31</v>
      </c>
      <c r="D6" s="164"/>
      <c r="E6" s="196">
        <v>44986</v>
      </c>
      <c r="F6" s="197"/>
      <c r="G6" s="156" t="s">
        <v>45</v>
      </c>
      <c r="L6" s="62"/>
      <c r="M6" s="58"/>
      <c r="N6" s="58"/>
      <c r="O6" s="58"/>
      <c r="P6" s="58"/>
      <c r="Q6" s="76"/>
      <c r="R6" s="6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7.5" customHeight="1" thickTop="1" thickBot="1" x14ac:dyDescent="0.2">
      <c r="B7" s="74"/>
      <c r="C7" s="14"/>
      <c r="D7" s="14"/>
      <c r="E7" s="64"/>
      <c r="F7" s="50"/>
      <c r="G7" s="49"/>
      <c r="H7" s="49"/>
      <c r="I7" s="14"/>
      <c r="J7" s="14"/>
      <c r="K7" s="14"/>
      <c r="L7" s="14"/>
      <c r="M7" s="77"/>
      <c r="N7" s="77"/>
      <c r="O7" s="77"/>
      <c r="P7" s="77"/>
      <c r="Q7" s="78"/>
      <c r="R7" s="4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6.25" customHeight="1" thickTop="1" thickBot="1" x14ac:dyDescent="0.2">
      <c r="B8" s="74"/>
      <c r="C8" s="165" t="s">
        <v>32</v>
      </c>
      <c r="D8" s="165"/>
      <c r="E8" s="198">
        <v>45048</v>
      </c>
      <c r="F8" s="199"/>
      <c r="G8" s="156" t="s">
        <v>46</v>
      </c>
      <c r="H8" s="63"/>
      <c r="I8" s="63"/>
      <c r="J8" s="63"/>
      <c r="L8" s="62"/>
      <c r="M8" s="174" t="s">
        <v>26</v>
      </c>
      <c r="N8" s="174"/>
      <c r="O8" s="174"/>
      <c r="P8" s="174"/>
      <c r="Q8" s="76"/>
      <c r="R8" s="6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7.5" customHeight="1" thickTop="1" thickBot="1" x14ac:dyDescent="0.2">
      <c r="B9" s="7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79"/>
      <c r="R9" s="1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7" customHeight="1" thickTop="1" thickBot="1" x14ac:dyDescent="0.2">
      <c r="B10" s="74"/>
      <c r="C10" s="168" t="s">
        <v>33</v>
      </c>
      <c r="D10" s="169"/>
      <c r="E10" s="200">
        <v>40</v>
      </c>
      <c r="F10" s="201"/>
      <c r="G10" s="156" t="s">
        <v>47</v>
      </c>
      <c r="H10" s="63"/>
      <c r="I10" s="63"/>
      <c r="J10" s="63"/>
      <c r="L10" s="62"/>
      <c r="M10" s="158">
        <f>M20</f>
        <v>5069</v>
      </c>
      <c r="N10" s="166"/>
      <c r="O10" s="166"/>
      <c r="P10" s="167"/>
      <c r="Q10" s="76"/>
      <c r="R10" s="6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5" customHeight="1" thickTop="1" thickBot="1" x14ac:dyDescent="0.2">
      <c r="B11" s="80"/>
      <c r="C11" s="81"/>
      <c r="D11" s="81"/>
      <c r="E11" s="82"/>
      <c r="F11" s="83"/>
      <c r="G11" s="81"/>
      <c r="H11" s="81"/>
      <c r="I11" s="81"/>
      <c r="J11" s="81"/>
      <c r="K11" s="84"/>
      <c r="L11" s="85"/>
      <c r="M11" s="43"/>
      <c r="N11" s="86"/>
      <c r="O11" s="86"/>
      <c r="P11" s="86"/>
      <c r="Q11" s="87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5" customHeight="1" thickBot="1" x14ac:dyDescent="0.2">
      <c r="B12" s="140"/>
      <c r="C12" s="14"/>
      <c r="D12" s="14"/>
      <c r="E12" s="15"/>
      <c r="F12" s="154"/>
      <c r="G12" s="14"/>
      <c r="H12" s="14"/>
      <c r="I12" s="14"/>
      <c r="J12" s="14"/>
      <c r="K12" s="17"/>
      <c r="L12" s="155"/>
      <c r="M12" s="19"/>
      <c r="N12" s="20"/>
      <c r="O12" s="20"/>
      <c r="P12" s="20"/>
      <c r="Q12" s="49"/>
      <c r="R12" s="4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7" customHeight="1" thickBot="1" x14ac:dyDescent="0.2">
      <c r="B13" s="170" t="s">
        <v>42</v>
      </c>
      <c r="C13" s="170"/>
      <c r="D13" s="171"/>
      <c r="E13" s="135">
        <f>_xlfn.DAYS(D36,E6)</f>
        <v>30</v>
      </c>
      <c r="G13" s="160" t="s">
        <v>43</v>
      </c>
      <c r="H13" s="160"/>
      <c r="I13" s="160"/>
      <c r="J13" s="161"/>
      <c r="K13" s="138">
        <f>_xlfn.DAYS(E8,D36)</f>
        <v>32</v>
      </c>
      <c r="L13" s="155"/>
      <c r="M13" s="176" t="s">
        <v>44</v>
      </c>
      <c r="N13" s="176"/>
      <c r="O13" s="177"/>
      <c r="P13" s="12">
        <f>_xlfn.DAYS(E8,E6)</f>
        <v>62</v>
      </c>
      <c r="Q13" s="49"/>
      <c r="R13" s="4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5" customHeight="1" x14ac:dyDescent="0.15">
      <c r="C14" s="13"/>
      <c r="D14" s="14"/>
      <c r="E14" s="15"/>
      <c r="F14" s="16"/>
      <c r="G14" s="13"/>
      <c r="H14" s="13"/>
      <c r="I14" s="13"/>
      <c r="J14" s="13"/>
      <c r="K14" s="17"/>
      <c r="L14" s="18"/>
      <c r="M14" s="19"/>
      <c r="N14" s="20"/>
      <c r="O14" s="20"/>
      <c r="P14" s="20"/>
      <c r="Q14" s="21"/>
      <c r="R14" s="2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7" customHeight="1" x14ac:dyDescent="0.15">
      <c r="C15" s="162" t="s">
        <v>34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7" customHeight="1" x14ac:dyDescent="0.15">
      <c r="C16" s="11"/>
      <c r="D16" s="183" t="s">
        <v>27</v>
      </c>
      <c r="E16" s="183"/>
      <c r="F16" s="185">
        <f>I33</f>
        <v>4186</v>
      </c>
      <c r="G16" s="186"/>
      <c r="H16" s="118" t="s">
        <v>22</v>
      </c>
      <c r="I16" s="134">
        <f>E13</f>
        <v>30</v>
      </c>
      <c r="J16" s="119" t="s">
        <v>23</v>
      </c>
      <c r="K16" s="120">
        <f>P13</f>
        <v>62</v>
      </c>
      <c r="L16" s="121" t="s">
        <v>24</v>
      </c>
      <c r="M16" s="173">
        <f>ROUNDDOWN(F16*I16/K16,0)</f>
        <v>2025</v>
      </c>
      <c r="N16" s="160"/>
      <c r="O16" s="180" t="s">
        <v>25</v>
      </c>
      <c r="P16" s="180"/>
      <c r="Q16" s="180"/>
      <c r="R16" s="2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3:32" ht="27" customHeight="1" thickBot="1" x14ac:dyDescent="0.2">
      <c r="C17" s="11"/>
      <c r="D17" s="184" t="s">
        <v>28</v>
      </c>
      <c r="E17" s="184"/>
      <c r="F17" s="187">
        <f>P33</f>
        <v>5008</v>
      </c>
      <c r="G17" s="188"/>
      <c r="H17" s="122" t="s">
        <v>22</v>
      </c>
      <c r="I17" s="137">
        <f>K13</f>
        <v>32</v>
      </c>
      <c r="J17" s="123" t="s">
        <v>23</v>
      </c>
      <c r="K17" s="124">
        <f>P13</f>
        <v>62</v>
      </c>
      <c r="L17" s="125" t="s">
        <v>24</v>
      </c>
      <c r="M17" s="189">
        <f>ROUNDDOWN(F17*I17/K17,0)</f>
        <v>2584</v>
      </c>
      <c r="N17" s="190"/>
      <c r="O17" s="181" t="s">
        <v>25</v>
      </c>
      <c r="P17" s="181"/>
      <c r="Q17" s="181"/>
      <c r="R17" s="22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3:32" ht="27" customHeight="1" thickTop="1" x14ac:dyDescent="0.15">
      <c r="C18" s="11"/>
      <c r="D18" s="126"/>
      <c r="E18" s="127"/>
      <c r="F18" s="128"/>
      <c r="G18" s="128"/>
      <c r="H18" s="128"/>
      <c r="I18" s="128"/>
      <c r="J18" s="129"/>
      <c r="K18" s="175" t="s">
        <v>35</v>
      </c>
      <c r="L18" s="175"/>
      <c r="M18" s="173">
        <f>M16+M17</f>
        <v>4609</v>
      </c>
      <c r="N18" s="160"/>
      <c r="O18" s="130"/>
      <c r="P18" s="130"/>
      <c r="Q18" s="131"/>
      <c r="R18" s="2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3:32" ht="27" customHeight="1" x14ac:dyDescent="0.15">
      <c r="C19" s="11"/>
      <c r="D19" s="126"/>
      <c r="E19" s="127"/>
      <c r="F19" s="128"/>
      <c r="G19" s="128"/>
      <c r="H19" s="128"/>
      <c r="I19" s="128"/>
      <c r="J19" s="129"/>
      <c r="K19" s="172" t="s">
        <v>37</v>
      </c>
      <c r="L19" s="172"/>
      <c r="M19" s="173">
        <f>ROUNDDOWN(M18*0.1,0)</f>
        <v>460</v>
      </c>
      <c r="N19" s="160"/>
      <c r="O19" s="130"/>
      <c r="P19" s="130"/>
      <c r="Q19" s="131"/>
      <c r="R19" s="2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3:32" ht="27" customHeight="1" x14ac:dyDescent="0.15">
      <c r="C20" s="11"/>
      <c r="D20" s="126"/>
      <c r="E20" s="127"/>
      <c r="F20" s="128"/>
      <c r="G20" s="128"/>
      <c r="H20" s="128"/>
      <c r="I20" s="128"/>
      <c r="J20" s="132"/>
      <c r="K20" s="179" t="s">
        <v>36</v>
      </c>
      <c r="L20" s="179"/>
      <c r="M20" s="191">
        <f>ROUNDDOWN(M18*1.1,0)</f>
        <v>5069</v>
      </c>
      <c r="N20" s="192"/>
      <c r="O20" s="182" t="s">
        <v>25</v>
      </c>
      <c r="P20" s="182"/>
      <c r="Q20" s="182"/>
      <c r="R20" s="54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3:32" ht="15" customHeight="1" x14ac:dyDescent="0.15"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3:32" ht="19.5" customHeight="1" x14ac:dyDescent="0.15">
      <c r="D22" s="88" t="s">
        <v>40</v>
      </c>
      <c r="E22" s="89"/>
      <c r="F22" s="90"/>
      <c r="G22" s="91"/>
      <c r="H22" s="90"/>
      <c r="I22" s="90"/>
      <c r="J22" s="92"/>
      <c r="K22" s="117" t="s">
        <v>38</v>
      </c>
      <c r="L22" s="24"/>
      <c r="M22" s="25"/>
      <c r="N22" s="26"/>
      <c r="O22" s="25"/>
      <c r="P22" s="2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3:32" ht="14.25" x14ac:dyDescent="0.15">
      <c r="D23" s="29"/>
      <c r="E23" s="29"/>
      <c r="F23" s="29"/>
      <c r="G23" s="30">
        <f>SUM(G24:G32)</f>
        <v>40</v>
      </c>
      <c r="H23" s="31"/>
      <c r="I23" s="31"/>
      <c r="J23" s="32"/>
      <c r="K23" s="33"/>
      <c r="L23" s="33"/>
      <c r="M23" s="33"/>
      <c r="N23" s="34">
        <f>SUM(N24:N32)</f>
        <v>40</v>
      </c>
      <c r="O23" s="32"/>
      <c r="P23" s="32"/>
      <c r="Q23" s="35"/>
      <c r="R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3:32" ht="14.25" x14ac:dyDescent="0.15">
      <c r="D24" s="95" t="s">
        <v>12</v>
      </c>
      <c r="E24" s="94">
        <v>1552</v>
      </c>
      <c r="F24" s="109"/>
      <c r="G24" s="97">
        <f>MAX(IF($E$10&gt;16,16,$E$10-16),0)</f>
        <v>16</v>
      </c>
      <c r="H24" s="109"/>
      <c r="I24" s="110">
        <f>E24</f>
        <v>1552</v>
      </c>
      <c r="J24" s="33"/>
      <c r="K24" s="95" t="s">
        <v>12</v>
      </c>
      <c r="L24" s="94">
        <v>1860</v>
      </c>
      <c r="M24" s="96"/>
      <c r="N24" s="97">
        <f>MAX(IF($E$10&gt;16,16,$E$10-16),0)</f>
        <v>16</v>
      </c>
      <c r="O24" s="96"/>
      <c r="P24" s="98">
        <f>L24</f>
        <v>1860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3:32" ht="14.25" x14ac:dyDescent="0.15">
      <c r="D25" s="99" t="s">
        <v>13</v>
      </c>
      <c r="E25" s="111">
        <v>106</v>
      </c>
      <c r="F25" s="112" t="s">
        <v>9</v>
      </c>
      <c r="G25" s="102">
        <f>MAX(IF($E$10-16&gt;14,14,$E$10-16),0)</f>
        <v>14</v>
      </c>
      <c r="H25" s="112" t="s">
        <v>10</v>
      </c>
      <c r="I25" s="113">
        <f>E25*G25</f>
        <v>1484</v>
      </c>
      <c r="J25" s="33"/>
      <c r="K25" s="99" t="s">
        <v>13</v>
      </c>
      <c r="L25" s="100">
        <v>127</v>
      </c>
      <c r="M25" s="101" t="s">
        <v>9</v>
      </c>
      <c r="N25" s="102">
        <f>MAX(IF($E$10-16&gt;14,14,$E$10-16),0)</f>
        <v>14</v>
      </c>
      <c r="O25" s="101" t="s">
        <v>10</v>
      </c>
      <c r="P25" s="103">
        <f>L25*N25</f>
        <v>1778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3:32" ht="14.25" x14ac:dyDescent="0.15">
      <c r="D26" s="99" t="s">
        <v>14</v>
      </c>
      <c r="E26" s="111">
        <v>115</v>
      </c>
      <c r="F26" s="112" t="s">
        <v>9</v>
      </c>
      <c r="G26" s="102">
        <f>MAX(IF($E$10-30&gt;10,10,$E$10-30),0)</f>
        <v>10</v>
      </c>
      <c r="H26" s="112" t="s">
        <v>10</v>
      </c>
      <c r="I26" s="113">
        <f t="shared" ref="I26:I32" si="0">E26*G26</f>
        <v>1150</v>
      </c>
      <c r="J26" s="33"/>
      <c r="K26" s="99" t="s">
        <v>14</v>
      </c>
      <c r="L26" s="100">
        <v>137</v>
      </c>
      <c r="M26" s="101" t="s">
        <v>9</v>
      </c>
      <c r="N26" s="102">
        <f>MAX(IF($E$10-30&gt;10,10,$E$10-30),0)</f>
        <v>10</v>
      </c>
      <c r="O26" s="101" t="s">
        <v>10</v>
      </c>
      <c r="P26" s="103">
        <f t="shared" ref="P26:P32" si="1">L26*N26</f>
        <v>1370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3:32" ht="14.25" x14ac:dyDescent="0.15">
      <c r="D27" s="99" t="s">
        <v>15</v>
      </c>
      <c r="E27" s="111">
        <v>125</v>
      </c>
      <c r="F27" s="112" t="s">
        <v>9</v>
      </c>
      <c r="G27" s="102">
        <f>MAX(IF($E$10-40&gt;20,20,$E$10-40),0)</f>
        <v>0</v>
      </c>
      <c r="H27" s="112" t="s">
        <v>10</v>
      </c>
      <c r="I27" s="113">
        <f t="shared" si="0"/>
        <v>0</v>
      </c>
      <c r="J27" s="33"/>
      <c r="K27" s="99" t="s">
        <v>15</v>
      </c>
      <c r="L27" s="100">
        <v>149</v>
      </c>
      <c r="M27" s="101" t="s">
        <v>9</v>
      </c>
      <c r="N27" s="102">
        <f>MAX(IF($E$10-40&gt;20,20,$E$10-40),0)</f>
        <v>0</v>
      </c>
      <c r="O27" s="101" t="s">
        <v>10</v>
      </c>
      <c r="P27" s="103">
        <f t="shared" si="1"/>
        <v>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3:32" ht="14.25" x14ac:dyDescent="0.15">
      <c r="D28" s="99" t="s">
        <v>16</v>
      </c>
      <c r="E28" s="111">
        <v>139</v>
      </c>
      <c r="F28" s="112" t="s">
        <v>9</v>
      </c>
      <c r="G28" s="102">
        <f>MAX(IF($E$10-60&gt;40,40,$E$10-60),0)</f>
        <v>0</v>
      </c>
      <c r="H28" s="112" t="s">
        <v>10</v>
      </c>
      <c r="I28" s="113">
        <f t="shared" si="0"/>
        <v>0</v>
      </c>
      <c r="J28" s="33"/>
      <c r="K28" s="99" t="s">
        <v>16</v>
      </c>
      <c r="L28" s="100">
        <v>165</v>
      </c>
      <c r="M28" s="101" t="s">
        <v>9</v>
      </c>
      <c r="N28" s="102">
        <f>MAX(IF($E$10-60&gt;40,40,$E$10-60),0)</f>
        <v>0</v>
      </c>
      <c r="O28" s="101" t="s">
        <v>10</v>
      </c>
      <c r="P28" s="103">
        <f t="shared" si="1"/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3:32" ht="14.25" x14ac:dyDescent="0.15">
      <c r="D29" s="99" t="s">
        <v>17</v>
      </c>
      <c r="E29" s="111">
        <v>163</v>
      </c>
      <c r="F29" s="112" t="s">
        <v>9</v>
      </c>
      <c r="G29" s="102">
        <f>MAX(IF($E$10-100&gt;100,100,$E$10-100),0)</f>
        <v>0</v>
      </c>
      <c r="H29" s="112" t="s">
        <v>10</v>
      </c>
      <c r="I29" s="113">
        <f t="shared" si="0"/>
        <v>0</v>
      </c>
      <c r="J29" s="33"/>
      <c r="K29" s="99" t="s">
        <v>17</v>
      </c>
      <c r="L29" s="100">
        <v>186</v>
      </c>
      <c r="M29" s="101" t="s">
        <v>9</v>
      </c>
      <c r="N29" s="102">
        <f>MAX(IF($E$10-100&gt;100,100,$E$10-100),0)</f>
        <v>0</v>
      </c>
      <c r="O29" s="101" t="s">
        <v>10</v>
      </c>
      <c r="P29" s="103">
        <f t="shared" si="1"/>
        <v>0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3:32" ht="14.25" x14ac:dyDescent="0.15">
      <c r="D30" s="99" t="s">
        <v>18</v>
      </c>
      <c r="E30" s="111">
        <v>214</v>
      </c>
      <c r="F30" s="112" t="s">
        <v>9</v>
      </c>
      <c r="G30" s="102">
        <f>MAX(IF($E$10-200&gt;400,400,$E$10-200),0)</f>
        <v>0</v>
      </c>
      <c r="H30" s="112" t="s">
        <v>10</v>
      </c>
      <c r="I30" s="113">
        <f t="shared" si="0"/>
        <v>0</v>
      </c>
      <c r="J30" s="33"/>
      <c r="K30" s="99" t="s">
        <v>18</v>
      </c>
      <c r="L30" s="100">
        <v>243</v>
      </c>
      <c r="M30" s="101" t="s">
        <v>9</v>
      </c>
      <c r="N30" s="102">
        <f>MAX(IF($E$10-200&gt;400,400,$E$10-200),0)</f>
        <v>0</v>
      </c>
      <c r="O30" s="101" t="s">
        <v>10</v>
      </c>
      <c r="P30" s="103">
        <f t="shared" si="1"/>
        <v>0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3:32" ht="14.25" x14ac:dyDescent="0.15">
      <c r="D31" s="99" t="s">
        <v>19</v>
      </c>
      <c r="E31" s="111">
        <v>267</v>
      </c>
      <c r="F31" s="112" t="s">
        <v>9</v>
      </c>
      <c r="G31" s="102">
        <f>MAX(IF($E$10-600&gt;1400,1400,$E$10-600),0)</f>
        <v>0</v>
      </c>
      <c r="H31" s="112" t="s">
        <v>10</v>
      </c>
      <c r="I31" s="113">
        <f t="shared" si="0"/>
        <v>0</v>
      </c>
      <c r="J31" s="33"/>
      <c r="K31" s="99" t="s">
        <v>19</v>
      </c>
      <c r="L31" s="100">
        <v>302</v>
      </c>
      <c r="M31" s="101" t="s">
        <v>9</v>
      </c>
      <c r="N31" s="102">
        <f>MAX(IF($E$10-600&gt;1400,1400,$E$10-600),0)</f>
        <v>0</v>
      </c>
      <c r="O31" s="101" t="s">
        <v>10</v>
      </c>
      <c r="P31" s="103">
        <f t="shared" si="1"/>
        <v>0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3:32" ht="15" thickBot="1" x14ac:dyDescent="0.2">
      <c r="D32" s="104" t="s">
        <v>20</v>
      </c>
      <c r="E32" s="114">
        <v>325</v>
      </c>
      <c r="F32" s="115" t="s">
        <v>9</v>
      </c>
      <c r="G32" s="107">
        <f>MAX($E$10-2000,0)</f>
        <v>0</v>
      </c>
      <c r="H32" s="115" t="s">
        <v>10</v>
      </c>
      <c r="I32" s="116">
        <f t="shared" si="0"/>
        <v>0</v>
      </c>
      <c r="J32" s="33"/>
      <c r="K32" s="104" t="s">
        <v>20</v>
      </c>
      <c r="L32" s="105">
        <v>364</v>
      </c>
      <c r="M32" s="106" t="s">
        <v>9</v>
      </c>
      <c r="N32" s="107">
        <f>MAX($E$10-2000,0)</f>
        <v>0</v>
      </c>
      <c r="O32" s="106" t="s">
        <v>10</v>
      </c>
      <c r="P32" s="108">
        <f t="shared" si="1"/>
        <v>0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4:32" ht="27" customHeight="1" thickTop="1" x14ac:dyDescent="0.15">
      <c r="D33" s="51"/>
      <c r="E33" s="52"/>
      <c r="F33" s="53"/>
      <c r="G33" s="145" t="s">
        <v>11</v>
      </c>
      <c r="H33" s="53"/>
      <c r="I33" s="136">
        <f>SUM(I24:I32)</f>
        <v>4186</v>
      </c>
      <c r="J33" s="46"/>
      <c r="K33" s="40"/>
      <c r="L33" s="41"/>
      <c r="M33" s="42"/>
      <c r="N33" s="146" t="s">
        <v>11</v>
      </c>
      <c r="O33" s="42"/>
      <c r="P33" s="139">
        <f>SUM(P24:P32)</f>
        <v>5008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4:32" x14ac:dyDescent="0.15"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4:32" ht="14.25" thickBot="1" x14ac:dyDescent="0.2"/>
    <row r="36" spans="4:32" ht="24" thickBot="1" x14ac:dyDescent="0.2">
      <c r="D36" s="10">
        <v>45016</v>
      </c>
    </row>
  </sheetData>
  <sheetProtection algorithmName="SHA-512" hashValue="9eQN8c1eJ6Iuf90aWK4joNYCvm5on38yWJSAHOHzRD6v0tm6OybDfYBRczBOQzuJLGm1Wp2Vvc48ehqAH5df6A==" saltValue="2PDYX6ykC3VQcHfeBR6Wig==" spinCount="100000" sheet="1" objects="1" scenarios="1"/>
  <mergeCells count="28">
    <mergeCell ref="A1:R1"/>
    <mergeCell ref="E6:F6"/>
    <mergeCell ref="E8:F8"/>
    <mergeCell ref="E10:F10"/>
    <mergeCell ref="K20:L20"/>
    <mergeCell ref="O16:Q16"/>
    <mergeCell ref="O17:Q17"/>
    <mergeCell ref="O20:Q20"/>
    <mergeCell ref="D16:E16"/>
    <mergeCell ref="D17:E17"/>
    <mergeCell ref="F16:G16"/>
    <mergeCell ref="F17:G17"/>
    <mergeCell ref="M16:N16"/>
    <mergeCell ref="M17:N17"/>
    <mergeCell ref="M18:N18"/>
    <mergeCell ref="M20:N20"/>
    <mergeCell ref="K19:L19"/>
    <mergeCell ref="M19:N19"/>
    <mergeCell ref="M8:P8"/>
    <mergeCell ref="K18:L18"/>
    <mergeCell ref="M13:O13"/>
    <mergeCell ref="G13:J13"/>
    <mergeCell ref="C15:R15"/>
    <mergeCell ref="C6:D6"/>
    <mergeCell ref="C8:D8"/>
    <mergeCell ref="M10:P10"/>
    <mergeCell ref="C10:D10"/>
    <mergeCell ref="B13:D1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005-E618-4564-A30E-B3D2BB14DE0B}">
  <sheetPr>
    <tabColor rgb="FFFFCCFF"/>
  </sheetPr>
  <dimension ref="A1:AF36"/>
  <sheetViews>
    <sheetView view="pageBreakPreview" zoomScale="55" zoomScaleNormal="85" zoomScaleSheetLayoutView="55" workbookViewId="0">
      <selection activeCell="AJ11" sqref="AJ11"/>
    </sheetView>
  </sheetViews>
  <sheetFormatPr defaultRowHeight="13.5" x14ac:dyDescent="0.15"/>
  <cols>
    <col min="1" max="2" width="1.25" customWidth="1"/>
    <col min="3" max="3" width="3.75" style="5" customWidth="1"/>
    <col min="4" max="4" width="13.875" style="6" bestFit="1" customWidth="1"/>
    <col min="5" max="5" width="11.25" style="4" customWidth="1"/>
    <col min="6" max="6" width="2.5" style="5" customWidth="1"/>
    <col min="7" max="7" width="6.25" style="5" customWidth="1"/>
    <col min="8" max="8" width="2.5" style="5" customWidth="1"/>
    <col min="9" max="9" width="13.75" style="5" customWidth="1"/>
    <col min="10" max="10" width="3.125" style="7" customWidth="1"/>
    <col min="11" max="11" width="13.875" style="8" customWidth="1"/>
    <col min="12" max="12" width="11.25" style="9" customWidth="1"/>
    <col min="13" max="13" width="2.5" style="7" customWidth="1"/>
    <col min="14" max="14" width="6.25" style="7" customWidth="1"/>
    <col min="15" max="15" width="2.5" style="7" customWidth="1"/>
    <col min="16" max="16" width="13.75" style="7" customWidth="1"/>
    <col min="17" max="17" width="1.25" style="5" customWidth="1"/>
    <col min="18" max="18" width="1.25" customWidth="1"/>
    <col min="19" max="19" width="1.125" customWidth="1"/>
    <col min="32" max="32" width="9" customWidth="1"/>
  </cols>
  <sheetData>
    <row r="1" spans="1:32" ht="30" customHeight="1" x14ac:dyDescent="0.15">
      <c r="A1" s="159" t="s">
        <v>30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3"/>
      <c r="T1" s="3"/>
      <c r="U1" s="3"/>
      <c r="V1" s="2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thickBot="1" x14ac:dyDescent="0.2"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" customHeight="1" x14ac:dyDescent="0.15">
      <c r="B3" s="65"/>
      <c r="C3" s="66"/>
      <c r="D3" s="67"/>
      <c r="E3" s="68"/>
      <c r="F3" s="69"/>
      <c r="G3" s="69"/>
      <c r="H3" s="69"/>
      <c r="I3" s="69"/>
      <c r="J3" s="70"/>
      <c r="K3" s="71"/>
      <c r="L3" s="72"/>
      <c r="M3" s="70"/>
      <c r="N3" s="70"/>
      <c r="O3" s="70"/>
      <c r="P3" s="70"/>
      <c r="Q3" s="73"/>
      <c r="R3" s="57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2.5" customHeight="1" x14ac:dyDescent="0.15">
      <c r="B4" s="74"/>
      <c r="C4" s="157" t="s">
        <v>48</v>
      </c>
      <c r="D4" s="55"/>
      <c r="E4" s="56"/>
      <c r="F4" s="57"/>
      <c r="G4" s="57"/>
      <c r="H4" s="57"/>
      <c r="I4" s="57"/>
      <c r="J4" s="58"/>
      <c r="K4" s="59"/>
      <c r="L4" s="60"/>
      <c r="M4" s="58"/>
      <c r="N4" s="58"/>
      <c r="O4" s="58"/>
      <c r="P4" s="58"/>
      <c r="Q4" s="75"/>
      <c r="R4" s="5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5" customHeight="1" thickBot="1" x14ac:dyDescent="0.2">
      <c r="B5" s="74"/>
      <c r="C5" s="57"/>
      <c r="D5" s="55"/>
      <c r="E5" s="93"/>
      <c r="F5" s="57"/>
      <c r="G5" s="57"/>
      <c r="H5" s="57"/>
      <c r="I5" s="57"/>
      <c r="J5" s="59"/>
      <c r="K5" s="59"/>
      <c r="L5" s="59"/>
      <c r="M5" s="58"/>
      <c r="N5" s="58"/>
      <c r="O5" s="58"/>
      <c r="P5" s="58"/>
      <c r="Q5" s="75"/>
      <c r="R5" s="5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6.25" customHeight="1" thickTop="1" thickBot="1" x14ac:dyDescent="0.2">
      <c r="B6" s="74"/>
      <c r="C6" s="163" t="s">
        <v>31</v>
      </c>
      <c r="D6" s="164"/>
      <c r="E6" s="196">
        <v>44986</v>
      </c>
      <c r="F6" s="197"/>
      <c r="G6" s="156" t="s">
        <v>45</v>
      </c>
      <c r="L6" s="62"/>
      <c r="M6" s="58"/>
      <c r="N6" s="58"/>
      <c r="O6" s="58"/>
      <c r="P6" s="58"/>
      <c r="Q6" s="76"/>
      <c r="R6" s="6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7.5" customHeight="1" thickTop="1" thickBot="1" x14ac:dyDescent="0.2">
      <c r="B7" s="74"/>
      <c r="C7" s="14"/>
      <c r="D7" s="14"/>
      <c r="E7" s="64"/>
      <c r="F7" s="50"/>
      <c r="G7" s="49"/>
      <c r="H7" s="49"/>
      <c r="I7" s="14"/>
      <c r="J7" s="14"/>
      <c r="K7" s="14"/>
      <c r="L7" s="14"/>
      <c r="M7" s="77"/>
      <c r="N7" s="77"/>
      <c r="O7" s="77"/>
      <c r="P7" s="77"/>
      <c r="Q7" s="78"/>
      <c r="R7" s="4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6.25" customHeight="1" thickTop="1" thickBot="1" x14ac:dyDescent="0.2">
      <c r="B8" s="74"/>
      <c r="C8" s="165" t="s">
        <v>32</v>
      </c>
      <c r="D8" s="165"/>
      <c r="E8" s="198">
        <v>45019</v>
      </c>
      <c r="F8" s="199"/>
      <c r="G8" s="156" t="s">
        <v>46</v>
      </c>
      <c r="H8" s="63"/>
      <c r="I8" s="63"/>
      <c r="J8" s="63"/>
      <c r="L8" s="62"/>
      <c r="M8" s="174" t="s">
        <v>21</v>
      </c>
      <c r="N8" s="174"/>
      <c r="O8" s="174"/>
      <c r="P8" s="174"/>
      <c r="Q8" s="76"/>
      <c r="R8" s="6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7.5" customHeight="1" thickTop="1" thickBot="1" x14ac:dyDescent="0.2">
      <c r="B9" s="7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79"/>
      <c r="R9" s="1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7" customHeight="1" thickTop="1" thickBot="1" x14ac:dyDescent="0.2">
      <c r="B10" s="74"/>
      <c r="C10" s="168" t="s">
        <v>33</v>
      </c>
      <c r="D10" s="169"/>
      <c r="E10" s="200">
        <v>20</v>
      </c>
      <c r="F10" s="201"/>
      <c r="G10" s="156" t="s">
        <v>47</v>
      </c>
      <c r="H10" s="63"/>
      <c r="I10" s="63"/>
      <c r="J10" s="63"/>
      <c r="L10" s="62"/>
      <c r="M10" s="193">
        <f>M20</f>
        <v>2341</v>
      </c>
      <c r="N10" s="194"/>
      <c r="O10" s="194"/>
      <c r="P10" s="195"/>
      <c r="Q10" s="76"/>
      <c r="R10" s="6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5" customHeight="1" thickTop="1" thickBot="1" x14ac:dyDescent="0.2">
      <c r="B11" s="80"/>
      <c r="C11" s="81"/>
      <c r="D11" s="81"/>
      <c r="E11" s="82"/>
      <c r="F11" s="83"/>
      <c r="G11" s="81"/>
      <c r="H11" s="81"/>
      <c r="I11" s="81"/>
      <c r="J11" s="81"/>
      <c r="K11" s="84"/>
      <c r="L11" s="85"/>
      <c r="M11" s="152"/>
      <c r="N11" s="86"/>
      <c r="O11" s="86"/>
      <c r="P11" s="86"/>
      <c r="Q11" s="87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5" customHeight="1" thickBot="1" x14ac:dyDescent="0.2">
      <c r="B12" s="140"/>
      <c r="C12" s="14"/>
      <c r="D12" s="14"/>
      <c r="E12" s="15"/>
      <c r="F12" s="154"/>
      <c r="G12" s="14"/>
      <c r="H12" s="14"/>
      <c r="I12" s="14"/>
      <c r="J12" s="14"/>
      <c r="K12" s="17"/>
      <c r="L12" s="155"/>
      <c r="M12" s="19"/>
      <c r="N12" s="20"/>
      <c r="O12" s="20"/>
      <c r="P12" s="20"/>
      <c r="Q12" s="49"/>
      <c r="R12" s="4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7" customHeight="1" thickBot="1" x14ac:dyDescent="0.2">
      <c r="B13" s="170" t="s">
        <v>42</v>
      </c>
      <c r="C13" s="170"/>
      <c r="D13" s="171"/>
      <c r="E13" s="135">
        <f>_xlfn.DAYS(D36,E6)</f>
        <v>30</v>
      </c>
      <c r="G13" s="160" t="s">
        <v>43</v>
      </c>
      <c r="H13" s="160"/>
      <c r="I13" s="160"/>
      <c r="J13" s="161"/>
      <c r="K13" s="138">
        <f>_xlfn.DAYS(E8,D36)</f>
        <v>3</v>
      </c>
      <c r="L13" s="155"/>
      <c r="M13" s="176" t="s">
        <v>44</v>
      </c>
      <c r="N13" s="176"/>
      <c r="O13" s="177"/>
      <c r="P13" s="12">
        <f>_xlfn.DAYS(E8,E6)</f>
        <v>33</v>
      </c>
      <c r="Q13" s="49"/>
      <c r="R13" s="4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5" customHeight="1" x14ac:dyDescent="0.15">
      <c r="B14" s="140"/>
      <c r="C14" s="61"/>
      <c r="D14" s="141"/>
      <c r="E14" s="142"/>
      <c r="F14" s="61"/>
      <c r="G14" s="61"/>
      <c r="H14" s="61"/>
      <c r="I14" s="61"/>
      <c r="J14" s="143"/>
      <c r="K14" s="62"/>
      <c r="L14" s="144"/>
      <c r="M14" s="143"/>
      <c r="N14" s="143"/>
      <c r="O14" s="143"/>
      <c r="P14" s="143"/>
      <c r="Q14" s="6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7" customHeight="1" x14ac:dyDescent="0.15">
      <c r="C15" s="162" t="s">
        <v>34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7" customHeight="1" x14ac:dyDescent="0.15">
      <c r="C16" s="11"/>
      <c r="D16" s="183" t="s">
        <v>27</v>
      </c>
      <c r="E16" s="183"/>
      <c r="F16" s="185">
        <f>I33</f>
        <v>2093</v>
      </c>
      <c r="G16" s="185"/>
      <c r="H16" s="153" t="s">
        <v>22</v>
      </c>
      <c r="I16" s="134">
        <f>E13</f>
        <v>30</v>
      </c>
      <c r="J16" s="119" t="s">
        <v>23</v>
      </c>
      <c r="K16" s="120">
        <f>P13</f>
        <v>33</v>
      </c>
      <c r="L16" s="121" t="s">
        <v>24</v>
      </c>
      <c r="M16" s="173">
        <f>ROUNDDOWN(F16*I16/K16,0)</f>
        <v>1902</v>
      </c>
      <c r="N16" s="173"/>
      <c r="O16" s="180" t="s">
        <v>25</v>
      </c>
      <c r="P16" s="180"/>
      <c r="Q16" s="18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3:32" ht="27" customHeight="1" thickBot="1" x14ac:dyDescent="0.2">
      <c r="C17" s="11"/>
      <c r="D17" s="184" t="s">
        <v>28</v>
      </c>
      <c r="E17" s="184"/>
      <c r="F17" s="187">
        <f>P33</f>
        <v>2504</v>
      </c>
      <c r="G17" s="188"/>
      <c r="H17" s="122" t="s">
        <v>22</v>
      </c>
      <c r="I17" s="137">
        <f>K13</f>
        <v>3</v>
      </c>
      <c r="J17" s="123" t="s">
        <v>23</v>
      </c>
      <c r="K17" s="124">
        <f>P13</f>
        <v>33</v>
      </c>
      <c r="L17" s="125" t="s">
        <v>24</v>
      </c>
      <c r="M17" s="189">
        <f>ROUNDDOWN(F17*I17/K17,0)</f>
        <v>227</v>
      </c>
      <c r="N17" s="190"/>
      <c r="O17" s="181" t="s">
        <v>25</v>
      </c>
      <c r="P17" s="181"/>
      <c r="Q17" s="18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3:32" ht="27.75" customHeight="1" thickTop="1" x14ac:dyDescent="0.15">
      <c r="C18" s="11"/>
      <c r="D18" s="126"/>
      <c r="E18" s="127"/>
      <c r="F18" s="128"/>
      <c r="G18" s="128"/>
      <c r="H18" s="128"/>
      <c r="I18" s="128"/>
      <c r="J18" s="129"/>
      <c r="K18" s="175" t="s">
        <v>35</v>
      </c>
      <c r="L18" s="175"/>
      <c r="M18" s="173">
        <f>M16+M17</f>
        <v>2129</v>
      </c>
      <c r="N18" s="160"/>
      <c r="O18" s="130"/>
      <c r="P18" s="130"/>
      <c r="Q18" s="13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3:32" ht="27.75" customHeight="1" x14ac:dyDescent="0.15">
      <c r="C19" s="11"/>
      <c r="D19" s="126"/>
      <c r="E19" s="127"/>
      <c r="F19" s="128"/>
      <c r="G19" s="128"/>
      <c r="H19" s="128"/>
      <c r="I19" s="128"/>
      <c r="J19" s="129"/>
      <c r="K19" s="172" t="s">
        <v>37</v>
      </c>
      <c r="L19" s="172"/>
      <c r="M19" s="173">
        <f>ROUNDDOWN(M18*0.1,0)</f>
        <v>212</v>
      </c>
      <c r="N19" s="160"/>
      <c r="O19" s="130"/>
      <c r="P19" s="130"/>
      <c r="Q19" s="131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3:32" ht="27.75" customHeight="1" x14ac:dyDescent="0.15">
      <c r="C20" s="11"/>
      <c r="D20" s="126"/>
      <c r="E20" s="127"/>
      <c r="F20" s="128"/>
      <c r="G20" s="128"/>
      <c r="H20" s="128"/>
      <c r="I20" s="133"/>
      <c r="J20" s="132"/>
      <c r="K20" s="179" t="s">
        <v>36</v>
      </c>
      <c r="L20" s="179"/>
      <c r="M20" s="191">
        <f>ROUNDDOWN(M18*1.1,0)</f>
        <v>2341</v>
      </c>
      <c r="N20" s="192"/>
      <c r="O20" s="182" t="s">
        <v>25</v>
      </c>
      <c r="P20" s="182"/>
      <c r="Q20" s="18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3:32" ht="15" customHeight="1" x14ac:dyDescent="0.15"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3:32" ht="18.75" customHeight="1" x14ac:dyDescent="0.15">
      <c r="D22" s="88" t="s">
        <v>41</v>
      </c>
      <c r="E22" s="89"/>
      <c r="F22" s="90"/>
      <c r="G22" s="91"/>
      <c r="H22" s="90"/>
      <c r="I22" s="90"/>
      <c r="J22" s="92"/>
      <c r="K22" s="117" t="s">
        <v>39</v>
      </c>
      <c r="L22" s="24"/>
      <c r="M22" s="25"/>
      <c r="N22" s="26"/>
      <c r="O22" s="25"/>
      <c r="P22" s="2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3:32" ht="14.25" customHeight="1" x14ac:dyDescent="0.15">
      <c r="D23" s="27"/>
      <c r="E23" s="21"/>
      <c r="F23" s="21"/>
      <c r="G23" s="44">
        <f>SUM(G24:G32)</f>
        <v>20</v>
      </c>
      <c r="H23" s="45"/>
      <c r="I23" s="45"/>
      <c r="J23" s="48"/>
      <c r="K23" s="28"/>
      <c r="L23" s="46"/>
      <c r="M23" s="46"/>
      <c r="N23" s="47">
        <f>SUM(N24:N32)</f>
        <v>20</v>
      </c>
      <c r="O23" s="48"/>
      <c r="P23" s="48"/>
      <c r="Q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3:32" ht="14.25" customHeight="1" x14ac:dyDescent="0.15">
      <c r="D24" s="95" t="s">
        <v>0</v>
      </c>
      <c r="E24" s="147">
        <v>776</v>
      </c>
      <c r="F24" s="109"/>
      <c r="G24" s="97">
        <f>MAX(IF($E$10&gt;8,8,$E$10-8),0)</f>
        <v>8</v>
      </c>
      <c r="H24" s="109"/>
      <c r="I24" s="110">
        <f>E24</f>
        <v>776</v>
      </c>
      <c r="J24" s="33"/>
      <c r="K24" s="148" t="s">
        <v>0</v>
      </c>
      <c r="L24" s="147">
        <v>930</v>
      </c>
      <c r="M24" s="96"/>
      <c r="N24" s="97">
        <f>MAX(IF($E$10&gt;8,8,$E$10-8),0)</f>
        <v>8</v>
      </c>
      <c r="O24" s="96"/>
      <c r="P24" s="98">
        <f>L24</f>
        <v>930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3:32" ht="14.25" customHeight="1" x14ac:dyDescent="0.15">
      <c r="D25" s="99" t="s">
        <v>1</v>
      </c>
      <c r="E25" s="111">
        <v>106</v>
      </c>
      <c r="F25" s="112" t="s">
        <v>9</v>
      </c>
      <c r="G25" s="102">
        <f>MAX(IF($E$10-8&gt;7,7,$E$10-8),0)</f>
        <v>7</v>
      </c>
      <c r="H25" s="112" t="s">
        <v>10</v>
      </c>
      <c r="I25" s="113">
        <f>E25*G25</f>
        <v>742</v>
      </c>
      <c r="J25" s="33"/>
      <c r="K25" s="149" t="s">
        <v>1</v>
      </c>
      <c r="L25" s="100">
        <v>127</v>
      </c>
      <c r="M25" s="101" t="s">
        <v>9</v>
      </c>
      <c r="N25" s="102">
        <f>MAX(IF($E$10-8&gt;7,7,$E$10-8),0)</f>
        <v>7</v>
      </c>
      <c r="O25" s="101" t="s">
        <v>10</v>
      </c>
      <c r="P25" s="103">
        <f>L25*N25</f>
        <v>889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3:32" ht="14.25" customHeight="1" x14ac:dyDescent="0.15">
      <c r="D26" s="99" t="s">
        <v>2</v>
      </c>
      <c r="E26" s="111">
        <v>115</v>
      </c>
      <c r="F26" s="112" t="s">
        <v>9</v>
      </c>
      <c r="G26" s="102">
        <f>MAX(IF($E$10-15&gt;5,5,$E$10-15),0)</f>
        <v>5</v>
      </c>
      <c r="H26" s="112" t="s">
        <v>10</v>
      </c>
      <c r="I26" s="113">
        <f t="shared" ref="I26:I32" si="0">E26*G26</f>
        <v>575</v>
      </c>
      <c r="J26" s="33"/>
      <c r="K26" s="149" t="s">
        <v>2</v>
      </c>
      <c r="L26" s="100">
        <v>137</v>
      </c>
      <c r="M26" s="101" t="s">
        <v>9</v>
      </c>
      <c r="N26" s="102">
        <f>MAX(IF($E$10-15&gt;5,5,$E$10-15),0)</f>
        <v>5</v>
      </c>
      <c r="O26" s="101" t="s">
        <v>10</v>
      </c>
      <c r="P26" s="103">
        <f t="shared" ref="P26:P32" si="1">L26*N26</f>
        <v>685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3:32" ht="14.25" customHeight="1" x14ac:dyDescent="0.15">
      <c r="D27" s="99" t="s">
        <v>3</v>
      </c>
      <c r="E27" s="111">
        <v>125</v>
      </c>
      <c r="F27" s="112" t="s">
        <v>9</v>
      </c>
      <c r="G27" s="102">
        <f>MAX(IF($E$10-20&gt;10,10,$E$10-20),0)</f>
        <v>0</v>
      </c>
      <c r="H27" s="112" t="s">
        <v>10</v>
      </c>
      <c r="I27" s="113">
        <f t="shared" si="0"/>
        <v>0</v>
      </c>
      <c r="J27" s="33"/>
      <c r="K27" s="149" t="s">
        <v>3</v>
      </c>
      <c r="L27" s="100">
        <v>149</v>
      </c>
      <c r="M27" s="101" t="s">
        <v>9</v>
      </c>
      <c r="N27" s="102">
        <f>MAX(IF($E$10-20&gt;10,10,$E$10-20),0)</f>
        <v>0</v>
      </c>
      <c r="O27" s="101" t="s">
        <v>10</v>
      </c>
      <c r="P27" s="103">
        <f t="shared" si="1"/>
        <v>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3:32" ht="14.25" customHeight="1" x14ac:dyDescent="0.15">
      <c r="D28" s="99" t="s">
        <v>4</v>
      </c>
      <c r="E28" s="111">
        <v>139</v>
      </c>
      <c r="F28" s="112" t="s">
        <v>9</v>
      </c>
      <c r="G28" s="102">
        <f>MAX(IF($E$10-30&gt;20,20,$E$10-30),0)</f>
        <v>0</v>
      </c>
      <c r="H28" s="112" t="s">
        <v>10</v>
      </c>
      <c r="I28" s="113">
        <f t="shared" si="0"/>
        <v>0</v>
      </c>
      <c r="J28" s="33"/>
      <c r="K28" s="149" t="s">
        <v>4</v>
      </c>
      <c r="L28" s="100">
        <v>165</v>
      </c>
      <c r="M28" s="101" t="s">
        <v>9</v>
      </c>
      <c r="N28" s="102">
        <f>MAX(IF($E$10-30&gt;20,20,$E$10-30),0)</f>
        <v>0</v>
      </c>
      <c r="O28" s="101" t="s">
        <v>10</v>
      </c>
      <c r="P28" s="103">
        <f t="shared" si="1"/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3:32" ht="14.25" customHeight="1" x14ac:dyDescent="0.15">
      <c r="D29" s="99" t="s">
        <v>5</v>
      </c>
      <c r="E29" s="111">
        <v>163</v>
      </c>
      <c r="F29" s="112" t="s">
        <v>9</v>
      </c>
      <c r="G29" s="102">
        <f>MAX(IF($E$10-50&gt;50,50,$E$10-50),0)</f>
        <v>0</v>
      </c>
      <c r="H29" s="112" t="s">
        <v>10</v>
      </c>
      <c r="I29" s="113">
        <f t="shared" si="0"/>
        <v>0</v>
      </c>
      <c r="J29" s="33"/>
      <c r="K29" s="149" t="s">
        <v>5</v>
      </c>
      <c r="L29" s="100">
        <v>186</v>
      </c>
      <c r="M29" s="101" t="s">
        <v>9</v>
      </c>
      <c r="N29" s="102">
        <f>MAX(IF($E$10-50&gt;50,50,$E$10-50),0)</f>
        <v>0</v>
      </c>
      <c r="O29" s="101" t="s">
        <v>10</v>
      </c>
      <c r="P29" s="103">
        <f t="shared" si="1"/>
        <v>0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3:32" ht="14.25" customHeight="1" x14ac:dyDescent="0.15">
      <c r="D30" s="99" t="s">
        <v>6</v>
      </c>
      <c r="E30" s="111">
        <v>214</v>
      </c>
      <c r="F30" s="112" t="s">
        <v>9</v>
      </c>
      <c r="G30" s="102">
        <f>MAX(IF($E$10-100&gt;200,200,$E$10-100),0)</f>
        <v>0</v>
      </c>
      <c r="H30" s="112" t="s">
        <v>10</v>
      </c>
      <c r="I30" s="113">
        <f t="shared" si="0"/>
        <v>0</v>
      </c>
      <c r="J30" s="33"/>
      <c r="K30" s="149" t="s">
        <v>6</v>
      </c>
      <c r="L30" s="100">
        <v>243</v>
      </c>
      <c r="M30" s="101" t="s">
        <v>9</v>
      </c>
      <c r="N30" s="102">
        <f>MAX(IF($E$10-100&gt;200,200,$E$10-100),0)</f>
        <v>0</v>
      </c>
      <c r="O30" s="101" t="s">
        <v>10</v>
      </c>
      <c r="P30" s="103">
        <f t="shared" si="1"/>
        <v>0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3:32" ht="14.25" customHeight="1" x14ac:dyDescent="0.15">
      <c r="D31" s="99" t="s">
        <v>7</v>
      </c>
      <c r="E31" s="111">
        <v>267</v>
      </c>
      <c r="F31" s="112" t="s">
        <v>9</v>
      </c>
      <c r="G31" s="102">
        <f>MAX(IF($E$10-300&gt;700,700,$E$10-300),0)</f>
        <v>0</v>
      </c>
      <c r="H31" s="112" t="s">
        <v>10</v>
      </c>
      <c r="I31" s="113">
        <f t="shared" si="0"/>
        <v>0</v>
      </c>
      <c r="J31" s="33"/>
      <c r="K31" s="149" t="s">
        <v>7</v>
      </c>
      <c r="L31" s="100">
        <v>302</v>
      </c>
      <c r="M31" s="101" t="s">
        <v>9</v>
      </c>
      <c r="N31" s="102">
        <f>MAX(IF($E$10-300&gt;700,700,$E$10-300),0)</f>
        <v>0</v>
      </c>
      <c r="O31" s="101" t="s">
        <v>10</v>
      </c>
      <c r="P31" s="103">
        <f t="shared" si="1"/>
        <v>0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3:32" ht="14.25" customHeight="1" thickBot="1" x14ac:dyDescent="0.2">
      <c r="D32" s="104" t="s">
        <v>8</v>
      </c>
      <c r="E32" s="114">
        <v>325</v>
      </c>
      <c r="F32" s="115" t="s">
        <v>9</v>
      </c>
      <c r="G32" s="107">
        <f>MAX($E$10-1000,0)</f>
        <v>0</v>
      </c>
      <c r="H32" s="115" t="s">
        <v>10</v>
      </c>
      <c r="I32" s="116">
        <f t="shared" si="0"/>
        <v>0</v>
      </c>
      <c r="J32" s="33"/>
      <c r="K32" s="150" t="s">
        <v>8</v>
      </c>
      <c r="L32" s="105">
        <v>364</v>
      </c>
      <c r="M32" s="106" t="s">
        <v>9</v>
      </c>
      <c r="N32" s="107">
        <f>MAX($E$10-1000,0)</f>
        <v>0</v>
      </c>
      <c r="O32" s="106" t="s">
        <v>10</v>
      </c>
      <c r="P32" s="108">
        <f t="shared" si="1"/>
        <v>0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4:32" ht="27" customHeight="1" thickTop="1" x14ac:dyDescent="0.15">
      <c r="D33" s="36"/>
      <c r="E33" s="37"/>
      <c r="F33" s="38"/>
      <c r="G33" s="151" t="s">
        <v>11</v>
      </c>
      <c r="H33" s="38"/>
      <c r="I33" s="136">
        <f>SUM(I24:I32)</f>
        <v>2093</v>
      </c>
      <c r="J33" s="39"/>
      <c r="K33" s="40"/>
      <c r="L33" s="41"/>
      <c r="M33" s="42"/>
      <c r="N33" s="146" t="s">
        <v>11</v>
      </c>
      <c r="O33" s="42"/>
      <c r="P33" s="139">
        <f>SUM(P24:P32)</f>
        <v>2504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4:32" x14ac:dyDescent="0.15"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4:32" ht="14.25" thickBot="1" x14ac:dyDescent="0.2"/>
    <row r="36" spans="4:32" ht="24.75" thickBot="1" x14ac:dyDescent="0.2">
      <c r="D36" s="1">
        <v>45016</v>
      </c>
    </row>
  </sheetData>
  <sheetProtection algorithmName="SHA-512" hashValue="BVnWSFXGAYivxYy86APArfyjEicbGBeHjJ016AdvaS+tljd3Qrn44AcKWp9up+eZIVdfSroBuskbCgwdAMZSSw==" saltValue="wzElWQ+lHEObUpxNgCNBeg==" spinCount="100000" sheet="1" objects="1" scenarios="1"/>
  <mergeCells count="28">
    <mergeCell ref="C15:R15"/>
    <mergeCell ref="K20:L20"/>
    <mergeCell ref="M20:N20"/>
    <mergeCell ref="O20:Q20"/>
    <mergeCell ref="K19:L19"/>
    <mergeCell ref="M19:N19"/>
    <mergeCell ref="D17:E17"/>
    <mergeCell ref="F17:G17"/>
    <mergeCell ref="M17:N17"/>
    <mergeCell ref="O17:Q17"/>
    <mergeCell ref="K18:L18"/>
    <mergeCell ref="M18:N18"/>
    <mergeCell ref="A1:R1"/>
    <mergeCell ref="D16:E16"/>
    <mergeCell ref="F16:G16"/>
    <mergeCell ref="M16:N16"/>
    <mergeCell ref="O16:Q16"/>
    <mergeCell ref="C6:D6"/>
    <mergeCell ref="E6:F6"/>
    <mergeCell ref="C8:D8"/>
    <mergeCell ref="E8:F8"/>
    <mergeCell ref="M8:P8"/>
    <mergeCell ref="C10:D10"/>
    <mergeCell ref="E10:F10"/>
    <mergeCell ref="M10:P10"/>
    <mergeCell ref="B13:D13"/>
    <mergeCell ref="G13:J13"/>
    <mergeCell ref="M13:O13"/>
  </mergeCells>
  <phoneticPr fontId="1"/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按分2か月・減免なし</vt:lpstr>
      <vt:lpstr>按分１か月・減免なし</vt:lpstr>
      <vt:lpstr>按分１か月・減免なし!Print_Area</vt:lpstr>
      <vt:lpstr>按分2か月・減免なし!Print_Area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A16P277</cp:lastModifiedBy>
  <cp:lastPrinted>2022-08-24T05:21:12Z</cp:lastPrinted>
  <dcterms:created xsi:type="dcterms:W3CDTF">2021-06-01T02:47:39Z</dcterms:created>
  <dcterms:modified xsi:type="dcterms:W3CDTF">2022-08-30T00:26:24Z</dcterms:modified>
</cp:coreProperties>
</file>